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Default Extension="sigs" ContentType="application/vnd.openxmlformats-package.digital-signature-origin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95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0г" sheetId="29" r:id="rId4"/>
  </sheets>
  <definedNames>
    <definedName name="_xlnm.Print_Area" localSheetId="1">'Раздел 1'!$A$3:$G$74</definedName>
    <definedName name="_xlnm.Print_Area" localSheetId="2">'Раздел 2'!$A$3:$I$48</definedName>
    <definedName name="_xlnm.Print_Area" localSheetId="3">'Расчеты 2020г'!$A$1:$P$260</definedName>
  </definedNames>
  <calcPr calcId="125725"/>
</workbook>
</file>

<file path=xl/calcChain.xml><?xml version="1.0" encoding="utf-8"?>
<calcChain xmlns="http://schemas.openxmlformats.org/spreadsheetml/2006/main">
  <c r="E14" i="29"/>
  <c r="G14" s="1"/>
  <c r="R52"/>
  <c r="I13"/>
  <c r="H13"/>
  <c r="G13"/>
  <c r="I14"/>
  <c r="H14"/>
  <c r="I15"/>
  <c r="I16"/>
  <c r="H16"/>
  <c r="E15"/>
  <c r="H15" s="1"/>
  <c r="Q14"/>
  <c r="Q15"/>
  <c r="Q16"/>
  <c r="H250"/>
  <c r="H251"/>
  <c r="H252"/>
  <c r="H253"/>
  <c r="H254"/>
  <c r="H255"/>
  <c r="H256"/>
  <c r="H257"/>
  <c r="H258"/>
  <c r="H249"/>
  <c r="F247"/>
  <c r="F248"/>
  <c r="F185"/>
  <c r="G185" s="1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170"/>
  <c r="F20" i="12"/>
  <c r="F16"/>
  <c r="G15" i="29" l="1"/>
  <c r="G212"/>
  <c r="H259"/>
  <c r="G232"/>
  <c r="G167"/>
  <c r="G168"/>
  <c r="G169"/>
  <c r="G164"/>
  <c r="U16"/>
  <c r="H82"/>
  <c r="G14" i="21"/>
  <c r="H14"/>
  <c r="F14"/>
  <c r="F2" l="1"/>
  <c r="E32" i="12" l="1"/>
  <c r="F32"/>
  <c r="D32"/>
  <c r="G233" i="29"/>
  <c r="G172"/>
  <c r="J59"/>
  <c r="U58"/>
  <c r="M13"/>
  <c r="H266"/>
  <c r="G231"/>
  <c r="T235"/>
  <c r="J235"/>
  <c r="H235"/>
  <c r="G166"/>
  <c r="G171"/>
  <c r="T100"/>
  <c r="E101"/>
  <c r="Q102" l="1"/>
  <c r="G235"/>
  <c r="Q236" s="1"/>
  <c r="G221"/>
  <c r="G222" s="1"/>
  <c r="H222" s="1"/>
  <c r="O13" l="1"/>
  <c r="F245" l="1"/>
  <c r="G165"/>
  <c r="G151"/>
  <c r="E16"/>
  <c r="G16" s="1"/>
  <c r="G244"/>
  <c r="G243"/>
  <c r="R54"/>
  <c r="G149"/>
  <c r="G10" i="12"/>
  <c r="U247" i="29"/>
  <c r="T188" l="1"/>
  <c r="H243"/>
  <c r="H260" s="1"/>
  <c r="F244"/>
  <c r="H268"/>
  <c r="I7" i="21"/>
  <c r="L272" i="29"/>
  <c r="L271"/>
  <c r="L270"/>
  <c r="L268"/>
  <c r="L267"/>
  <c r="L266"/>
  <c r="E36" i="12"/>
  <c r="F36"/>
  <c r="D36"/>
  <c r="E55"/>
  <c r="G7" i="21" s="1"/>
  <c r="G28" s="1"/>
  <c r="F55" i="12"/>
  <c r="H7" i="21" s="1"/>
  <c r="G55" i="12"/>
  <c r="D55"/>
  <c r="E46"/>
  <c r="F46"/>
  <c r="D46"/>
  <c r="N260" i="29"/>
  <c r="G175"/>
  <c r="G174"/>
  <c r="G173"/>
  <c r="E14" i="12"/>
  <c r="F14"/>
  <c r="G14"/>
  <c r="D14"/>
  <c r="H267" i="29"/>
  <c r="E19" i="12"/>
  <c r="F19"/>
  <c r="G19"/>
  <c r="D19"/>
  <c r="H2" i="21" l="1"/>
  <c r="H28"/>
  <c r="D11" i="12"/>
  <c r="G2" i="21"/>
  <c r="G1"/>
  <c r="L274" i="29"/>
  <c r="F7" i="21"/>
  <c r="F28" s="1"/>
  <c r="E31" i="12"/>
  <c r="F31"/>
  <c r="E11"/>
  <c r="D31"/>
  <c r="L269" i="29"/>
  <c r="F11" i="12"/>
  <c r="H269" i="29"/>
  <c r="D2" i="12" l="1"/>
  <c r="D10"/>
  <c r="E1"/>
  <c r="E2"/>
  <c r="L275" i="29"/>
  <c r="F10" i="12"/>
  <c r="D1"/>
  <c r="F1"/>
  <c r="E10"/>
  <c r="F2"/>
  <c r="H59" i="29" l="1"/>
  <c r="Q13"/>
  <c r="F14" l="1"/>
  <c r="J14" l="1"/>
  <c r="K14" s="1"/>
  <c r="G162"/>
  <c r="K268"/>
  <c r="K260"/>
  <c r="F253"/>
  <c r="F252"/>
  <c r="F251"/>
  <c r="F250"/>
  <c r="F246"/>
  <c r="I260"/>
  <c r="F242"/>
  <c r="G213"/>
  <c r="H213" s="1"/>
  <c r="M204"/>
  <c r="H204"/>
  <c r="M177"/>
  <c r="H177"/>
  <c r="G176"/>
  <c r="J177"/>
  <c r="G163"/>
  <c r="I154"/>
  <c r="J154" s="1"/>
  <c r="G153"/>
  <c r="G152"/>
  <c r="G150"/>
  <c r="H132"/>
  <c r="G131"/>
  <c r="G130"/>
  <c r="G121"/>
  <c r="G112"/>
  <c r="K272"/>
  <c r="E91"/>
  <c r="K271" s="1"/>
  <c r="E80"/>
  <c r="Q80" s="1"/>
  <c r="M59"/>
  <c r="Q59" s="1"/>
  <c r="G54"/>
  <c r="R57"/>
  <c r="H35"/>
  <c r="K267" s="1"/>
  <c r="F34"/>
  <c r="E26"/>
  <c r="G26" s="1"/>
  <c r="P17"/>
  <c r="O17"/>
  <c r="F268" s="1"/>
  <c r="D268" s="1"/>
  <c r="N17"/>
  <c r="M17"/>
  <c r="F16"/>
  <c r="F15"/>
  <c r="F13"/>
  <c r="K13" l="1"/>
  <c r="G268"/>
  <c r="M272"/>
  <c r="N272"/>
  <c r="M267"/>
  <c r="N267"/>
  <c r="M271"/>
  <c r="N271"/>
  <c r="M268"/>
  <c r="N268"/>
  <c r="G204"/>
  <c r="J13"/>
  <c r="J15"/>
  <c r="K15" s="1"/>
  <c r="L14"/>
  <c r="S14"/>
  <c r="R14" s="1"/>
  <c r="J16"/>
  <c r="K16" s="1"/>
  <c r="S260"/>
  <c r="G177"/>
  <c r="R58"/>
  <c r="R56"/>
  <c r="F91"/>
  <c r="K273"/>
  <c r="M273" s="1"/>
  <c r="Q177"/>
  <c r="I82"/>
  <c r="K270"/>
  <c r="I35"/>
  <c r="I132"/>
  <c r="J204"/>
  <c r="F267" s="1"/>
  <c r="T247"/>
  <c r="U248" s="1"/>
  <c r="T248" s="1"/>
  <c r="T173"/>
  <c r="Q178" l="1"/>
  <c r="L13"/>
  <c r="K274"/>
  <c r="N274" s="1"/>
  <c r="M270"/>
  <c r="N270"/>
  <c r="G267"/>
  <c r="S261"/>
  <c r="U260"/>
  <c r="S16"/>
  <c r="R16" s="1"/>
  <c r="S15"/>
  <c r="R15" s="1"/>
  <c r="S13"/>
  <c r="R13" s="1"/>
  <c r="T174"/>
  <c r="L15"/>
  <c r="T189"/>
  <c r="R53"/>
  <c r="Q204"/>
  <c r="Q205" s="1"/>
  <c r="G29" i="12"/>
  <c r="L16" i="29" l="1"/>
  <c r="L17" s="1"/>
  <c r="F266" s="1"/>
  <c r="D266" s="1"/>
  <c r="K17"/>
  <c r="M274"/>
  <c r="F53" l="1"/>
  <c r="G53" s="1"/>
  <c r="U17"/>
  <c r="K266"/>
  <c r="V16"/>
  <c r="F269"/>
  <c r="G266"/>
  <c r="G269" s="1"/>
  <c r="F57"/>
  <c r="G57" s="1"/>
  <c r="G52" l="1"/>
  <c r="F56"/>
  <c r="F58"/>
  <c r="G58" s="1"/>
  <c r="M266"/>
  <c r="N266"/>
  <c r="G56" l="1"/>
  <c r="G55" s="1"/>
  <c r="G59" s="1"/>
  <c r="U60" l="1"/>
  <c r="U59"/>
  <c r="K269"/>
  <c r="N269" s="1"/>
  <c r="Q60"/>
  <c r="S59"/>
  <c r="K275" l="1"/>
  <c r="M269"/>
  <c r="K277" l="1"/>
  <c r="N275"/>
  <c r="K276"/>
  <c r="M275"/>
</calcChain>
</file>

<file path=xl/sharedStrings.xml><?xml version="1.0" encoding="utf-8"?>
<sst xmlns="http://schemas.openxmlformats.org/spreadsheetml/2006/main" count="1266" uniqueCount="435">
  <si>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</si>
  <si>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</si>
  <si>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</si>
  <si>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</si>
  <si>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</si>
  <si>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</si>
  <si>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</si>
  <si>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</si>
  <si>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</si>
  <si>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</si>
  <si>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</si>
  <si>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</si>
  <si>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</si>
  <si>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</si>
  <si>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</si>
  <si>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</si>
  <si>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</si>
  <si>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</si>
  <si>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</si>
  <si>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</si>
  <si>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</si>
  <si>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</si>
  <si>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</si>
  <si>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</si>
  <si>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</si>
  <si>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</si>
  <si>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</si>
  <si>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</si>
  <si>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</si>
  <si>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</si>
  <si>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</si>
  <si>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</si>
  <si>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</si>
  <si>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</si>
  <si>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</si>
  <si>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</si>
  <si>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</si>
  <si>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</si>
  <si>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</si>
  <si>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</si>
  <si>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</si>
  <si>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</si>
  <si>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</si>
  <si>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</si>
  <si>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</si>
  <si>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</si>
  <si>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</si>
  <si>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</si>
  <si>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</si>
  <si>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</si>
  <si>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</si>
  <si>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</si>
  <si>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</si>
  <si>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</si>
  <si>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</si>
  <si>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</si>
  <si>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</si>
  <si>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</si>
  <si>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</si>
  <si>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</si>
  <si>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</si>
  <si>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</si>
  <si>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</si>
  <si>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</si>
  <si>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</si>
  <si>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</si>
  <si>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</si>
  <si>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</si>
  <si>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</si>
  <si>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</si>
  <si>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</si>
  <si>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</si>
  <si>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</si>
  <si>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</si>
  <si>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</si>
  <si>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</si>
  <si>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</si>
  <si>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</si>
  <si>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</si>
  <si>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</si>
  <si>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</si>
  <si>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</si>
  <si>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</si>
  <si>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</si>
  <si>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</si>
  <si>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</si>
  <si>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</si>
  <si>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</si>
  <si>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</si>
  <si>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</si>
  <si>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</si>
  <si>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</si>
  <si>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</si>
  <si>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</si>
  <si>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</si>
  <si>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</si>
  <si>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</si>
  <si>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</si>
  <si>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</si>
  <si>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</si>
  <si>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</si>
  <si>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</si>
  <si>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</si>
  <si>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</si>
  <si>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</si>
  <si>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</si>
  <si>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</si>
  <si>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</si>
  <si>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</si>
  <si>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</si>
  <si>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</si>
  <si>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</si>
  <si>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</si>
  <si>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</si>
  <si>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</si>
  <si>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</si>
  <si>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</si>
  <si>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</si>
  <si>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</si>
  <si>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</si>
  <si>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</si>
  <si>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</si>
  <si>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</si>
  <si>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</si>
  <si>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</si>
  <si>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</si>
  <si>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</si>
  <si>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</si>
  <si>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</si>
  <si>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 xml:space="preserve">из них:  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</si>
  <si>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</si>
  <si>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</si>
  <si>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</si>
  <si>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</si>
  <si>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</si>
  <si>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</si>
  <si>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</si>
  <si>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</si>
  <si>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</si>
  <si>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</si>
  <si>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</si>
  <si>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</si>
  <si>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</si>
  <si>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</si>
  <si>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</si>
  <si>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</si>
  <si>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</si>
  <si>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</si>
  <si>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</si>
  <si>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</si>
  <si>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</si>
  <si>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</si>
  <si>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</si>
  <si>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</si>
  <si>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</si>
  <si>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</si>
  <si>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</si>
  <si>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</si>
  <si>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</si>
  <si>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</si>
  <si>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</si>
  <si>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</si>
  <si>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</si>
  <si>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</si>
  <si>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</si>
  <si>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</si>
  <si>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</si>
  <si>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</si>
  <si>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</si>
  <si>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</si>
  <si>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</si>
  <si>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</si>
  <si>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</si>
  <si>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</si>
  <si>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</si>
  <si>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</si>
  <si>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</si>
  <si>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</si>
  <si>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</si>
  <si>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</si>
  <si>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</si>
  <si>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</si>
  <si>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</si>
  <si>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</si>
  <si>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</si>
  <si>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</si>
  <si>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</si>
  <si>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</si>
  <si>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</si>
  <si>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</si>
  <si>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</si>
  <si>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</si>
  <si>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</si>
  <si>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</si>
  <si>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</si>
  <si>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</si>
  <si>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</si>
  <si>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</si>
  <si>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</si>
  <si>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</si>
  <si>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</si>
  <si>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</si>
  <si>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</si>
  <si>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</si>
  <si>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</si>
  <si>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</si>
  <si>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</si>
  <si>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</si>
  <si>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</si>
  <si>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</si>
  <si>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</si>
  <si>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</si>
  <si>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</si>
  <si>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</si>
  <si>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</si>
  <si>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</si>
  <si>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</si>
  <si>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</si>
  <si>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</si>
  <si>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</si>
  <si>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</si>
  <si>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</si>
  <si>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</si>
  <si>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</si>
  <si>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</si>
  <si>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</si>
  <si>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</si>
  <si>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</si>
  <si>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</si>
  <si>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</si>
  <si>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</si>
  <si>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</si>
  <si>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</si>
  <si>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</si>
  <si>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</si>
  <si>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</si>
  <si>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</si>
  <si>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</si>
  <si>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</si>
  <si>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</si>
  <si>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</si>
  <si>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</si>
  <si>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</si>
  <si>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</si>
  <si>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</si>
  <si>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</si>
  <si>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</si>
  <si>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</si>
  <si>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</si>
  <si>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</si>
  <si>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</si>
  <si>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</si>
  <si>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</si>
  <si>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</si>
  <si>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</si>
  <si>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</si>
  <si>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</si>
  <si>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</si>
  <si>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</si>
  <si>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</si>
  <si>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</si>
  <si>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</si>
  <si>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</si>
  <si>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</si>
  <si>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</si>
  <si>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</si>
  <si>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</si>
  <si>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</si>
  <si>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</si>
  <si>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</si>
  <si>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</si>
  <si>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</si>
  <si>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</si>
  <si>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тахографа</t>
  </si>
  <si>
    <t>Техническое обслуживание автоматических установок противопожарной защиты (ТО АПС)</t>
  </si>
  <si>
    <t>Техническое обслуживание дублирующего сигнал оборудования (ТО ПАК "Стрелец-мониторинг")</t>
  </si>
  <si>
    <t>Ремонт и установка ограждений территорий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</si>
  <si>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</si>
  <si>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</si>
  <si>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</si>
  <si>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Приобретение квалифицированного сертификата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</si>
  <si>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</si>
  <si>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</si>
  <si>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</si>
  <si>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</si>
  <si>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</si>
  <si>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</si>
  <si>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Выплаты по больничным листам</t>
  </si>
  <si>
    <t>Компенсация дополнительных расходов, связанных с проживанием вне места постоянного проживания (суточные)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</si>
  <si>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</si>
  <si>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</si>
  <si>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</si>
  <si>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</si>
  <si>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</si>
  <si>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</si>
  <si>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</si>
  <si>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</si>
  <si>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</si>
  <si>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</si>
  <si>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</si>
  <si>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</si>
  <si>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</si>
  <si>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</si>
  <si>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</si>
  <si>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</si>
  <si>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</si>
  <si>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</si>
  <si>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</si>
  <si>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</si>
  <si>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</si>
  <si>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</si>
  <si>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</si>
  <si>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</si>
  <si>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</si>
  <si>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</si>
  <si>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Приобретение строительных материалов (краска)</t>
  </si>
  <si>
    <t>ст.341</t>
  </si>
  <si>
    <t>ст.342</t>
  </si>
  <si>
    <t>ст.343</t>
  </si>
  <si>
    <t>ст.344</t>
  </si>
  <si>
    <t>ст.346</t>
  </si>
  <si>
    <t>ст.349</t>
  </si>
  <si>
    <t>Классные журналы</t>
  </si>
  <si>
    <t xml:space="preserve">МЗ </t>
  </si>
  <si>
    <t>Курсы повышения квалификации</t>
  </si>
  <si>
    <t>Комиссия банка</t>
  </si>
  <si>
    <t>ВР 113</t>
  </si>
  <si>
    <t>Директор</t>
  </si>
  <si>
    <t>ВР 851</t>
  </si>
  <si>
    <t>ВР 852</t>
  </si>
  <si>
    <t>ВР 853</t>
  </si>
  <si>
    <t>ВР</t>
  </si>
  <si>
    <t>ВСЕГО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</si>
  <si>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</si>
  <si>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</si>
  <si>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</si>
  <si>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</si>
  <si>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</si>
  <si>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</si>
  <si>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</si>
  <si>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</si>
  <si>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</si>
  <si>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</si>
  <si>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</si>
  <si>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>Приобретение продуктов питания СОШ</t>
  </si>
  <si>
    <t>Приобретение продуктов питания ДОУ</t>
  </si>
  <si>
    <t>Х</t>
  </si>
  <si>
    <t>Н.Б.Мусакаева</t>
  </si>
  <si>
    <t>Муниципальное бюджетное общеобразовательное учреждение «Гамалеевская средняя общеобразовательная школа №2» Сорочинского городского округа Оренбургской области</t>
  </si>
  <si>
    <t>Раздел 1. Поступления и выплаты</t>
  </si>
  <si>
    <t xml:space="preserve">   (должность)                                                     (расшифровка подписи, телефон)</t>
  </si>
  <si>
    <t>Оплата услуг предоставления газа</t>
  </si>
  <si>
    <t>Техническое обслуживание сетей газораспределения</t>
  </si>
  <si>
    <r>
      <t xml:space="preserve">Исполнитель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</si>
  <si>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>Компенсация дополнительных расходов, связанных с проживанием вне места постоянного проживания (проезд,проживание)</t>
  </si>
  <si>
    <t>Приобретение учебников</t>
  </si>
  <si>
    <t>5.7. Расчет (обоснование) расходов на услуги, работы для целей капитальных вложений</t>
  </si>
  <si>
    <t>5.8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</si>
  <si>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</si>
  <si>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из них:                                                                                       гранты, предоставляемые бюджетным учреждениям</t>
  </si>
  <si>
    <t>гранты, предоставляемые автономным учреждениям</t>
  </si>
  <si>
    <t>2420</t>
  </si>
  <si>
    <t>4.1.</t>
  </si>
  <si>
    <t>1.3.1.</t>
  </si>
  <si>
    <t>в том числе: в соответствии с Федеральным законом №44-ФЗ</t>
  </si>
  <si>
    <t>26310</t>
  </si>
  <si>
    <t>из них с Федеральным законом №223-ФЗ</t>
  </si>
  <si>
    <t>26320</t>
  </si>
  <si>
    <t>из них по Указам Президента РФ от 07.05.2018г. №204</t>
  </si>
  <si>
    <t>26310.1</t>
  </si>
  <si>
    <t>26421.1</t>
  </si>
  <si>
    <t>26430.1</t>
  </si>
  <si>
    <t>26451.1</t>
  </si>
  <si>
    <t>МЗ</t>
  </si>
  <si>
    <t>ПД</t>
  </si>
  <si>
    <t>итого</t>
  </si>
  <si>
    <t>Поверка дымохода</t>
  </si>
  <si>
    <t>Поверка манометра</t>
  </si>
  <si>
    <t>Организация и проведение мероприятий в области охраны труда</t>
  </si>
  <si>
    <t xml:space="preserve">Обучение по ДПП повыш.квалиф."Иннов.модели реализации предшк.образ.в соответ. с ФГОС ДО" </t>
  </si>
  <si>
    <t>Оплата за проект "Капитальный ремонт спортивного объекта"</t>
  </si>
  <si>
    <t>За услуги хостинга</t>
  </si>
  <si>
    <t xml:space="preserve">Обучение приемам оказания первой помощи пострадавшим </t>
  </si>
  <si>
    <t>Иные цели</t>
  </si>
  <si>
    <t>Организация и проведение мероприятий по профилактике терроризма и экстремизма</t>
  </si>
  <si>
    <t>Приобретение рециркулятора бактерицидного</t>
  </si>
  <si>
    <t>Огнетушители</t>
  </si>
  <si>
    <t>Канц.товары</t>
  </si>
  <si>
    <t>244.</t>
  </si>
  <si>
    <t>4.2.</t>
  </si>
  <si>
    <t>4.3.</t>
  </si>
  <si>
    <t>4.4.</t>
  </si>
  <si>
    <t>4.5.</t>
  </si>
  <si>
    <t>4.6.</t>
  </si>
  <si>
    <t>4.7.</t>
  </si>
  <si>
    <t>иц</t>
  </si>
  <si>
    <t>Пожарное ограждение</t>
  </si>
  <si>
    <t>Дератизация, дезинфекция</t>
  </si>
  <si>
    <t>Поверка узла учета</t>
  </si>
  <si>
    <t>Бесконтактный термометр</t>
  </si>
  <si>
    <t>Хозтовары</t>
  </si>
  <si>
    <t>СИЗ</t>
  </si>
  <si>
    <t>4.8.</t>
  </si>
  <si>
    <t>Оплата за ремонт транспортного средства</t>
  </si>
  <si>
    <t>Перезарядка огнетушителей</t>
  </si>
  <si>
    <t>Огнезащитная обработка чердачного помещения</t>
  </si>
  <si>
    <t>Ремонт автоматической пожарной сигнализации</t>
  </si>
  <si>
    <t>Сладкие призы</t>
  </si>
  <si>
    <t>Бриллиантовый миг</t>
  </si>
  <si>
    <t>Моющие средства</t>
  </si>
  <si>
    <t>4.9.</t>
  </si>
  <si>
    <t>Термопленка, ролик захвата бумаги</t>
  </si>
  <si>
    <t>Переподготовка по программе ПДД</t>
  </si>
  <si>
    <t>Заключение санитарно-эпидемиологической оценки</t>
  </si>
  <si>
    <t>Начальник Управления образования администрации Сорочинского городского округа</t>
  </si>
  <si>
    <r>
      <t>____________________                _________</t>
    </r>
    <r>
      <rPr>
        <u/>
        <sz val="12"/>
        <color theme="1"/>
        <rFont val="Times New Roman"/>
        <family val="1"/>
        <charset val="204"/>
      </rPr>
      <t>Урюпина Г.В.</t>
    </r>
    <r>
      <rPr>
        <sz val="12"/>
        <color theme="1"/>
        <rFont val="Times New Roman"/>
        <family val="1"/>
        <charset val="204"/>
      </rPr>
      <t>__________</t>
    </r>
  </si>
  <si>
    <t>Гусельникова Ю.М. 8(35346)4-26-53</t>
  </si>
  <si>
    <t>«___»   ______________ 2021 г.</t>
  </si>
  <si>
    <t>План финансово-хозяйственной деятельности на 2021 г.</t>
  </si>
  <si>
    <t>(на 2021 г. и плановый период 2022 и 2023 годов)</t>
  </si>
  <si>
    <t>от "01" января 2021 г.</t>
  </si>
  <si>
    <t>на 2021 г. (текущий финансовый год)</t>
  </si>
  <si>
    <t>на 2022 г. (первый год планового периода)</t>
  </si>
  <si>
    <t>на 2023 г. (второй год планового периода)</t>
  </si>
  <si>
    <t>"___" ____________ 2021 г.</t>
  </si>
  <si>
    <t>"____" ______________ 2021 г.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</si>
  <si>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«Гамалеевская средняя общеобразовательная школа №2» Сорочинского городского округа Оренбургской области на 2021 год</t>
  </si>
  <si>
    <t>Ообеспечение бесплатным двухразовым питанием лиц с ограниченными возможностями здоровья, обучающихся в муниципальных общеобразовательных организациях, а также выплата ежемесячной денежной компенсации двухразового питания обучающимся с ограниченными возможностями здоровья, осваивающим программы начального общего, основного общего и среднего общего образования на дому</t>
  </si>
  <si>
    <t>Приобретение прочих материальных запасов однократного применения</t>
  </si>
  <si>
    <t>остаток на 01.01.2021г</t>
  </si>
  <si>
    <t>взносы по обязательное социальное страхование в части выплат персоналу, подлежащих обложению страховыми взносами</t>
  </si>
  <si>
    <t>2143</t>
  </si>
  <si>
    <t>закупка энергетических ресурсов</t>
  </si>
  <si>
    <t>2641</t>
  </si>
  <si>
    <t>Оплата услуг водоснабжения, водоотведения и вывоз жидких бытовых отходов при отсутствии централизованной системы канализации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</si>
</sst>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20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</cellStyleXfs>
  <cellXfs count="395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0" fillId="0" borderId="0" xfId="0" applyBorder="1"/>
    <xf numFmtId="0" fontId="11" fillId="0" borderId="1" xfId="0" applyFont="1" applyBorder="1" applyAlignment="1">
      <alignment vertical="top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5" fillId="0" borderId="0" xfId="0" applyFont="1" applyAlignment="1">
      <alignment vertical="center" wrapText="1"/>
    </xf>
    <xf numFmtId="0" fontId="11" fillId="0" borderId="0" xfId="0" applyFont="1" applyBorder="1" applyAlignment="1">
      <alignment vertical="top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wrapText="1"/>
    </xf>
    <xf numFmtId="0" fontId="1" fillId="0" borderId="1" xfId="0" applyFont="1" applyBorder="1" applyAlignment="1">
      <alignment horizontal="left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165" fontId="11" fillId="0" borderId="1" xfId="0" applyNumberFormat="1" applyFont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" fillId="0" borderId="7" xfId="0" applyFont="1" applyBorder="1" applyAlignment="1">
      <alignment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0" fillId="0" borderId="0" xfId="0" applyNumberFormat="1"/>
    <xf numFmtId="165" fontId="1" fillId="2" borderId="0" xfId="0" applyNumberFormat="1" applyFont="1" applyFill="1" applyAlignment="1">
      <alignment vertical="center"/>
    </xf>
    <xf numFmtId="0" fontId="11" fillId="0" borderId="7" xfId="0" applyFont="1" applyBorder="1" applyAlignment="1">
      <alignment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165" fontId="16" fillId="0" borderId="1" xfId="0" applyNumberFormat="1" applyFont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0" fontId="0" fillId="0" borderId="0" xfId="0" applyAlignment="1">
      <alignment horizontal="center"/>
    </xf>
    <xf numFmtId="165" fontId="1" fillId="0" borderId="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/>
    <xf numFmtId="2" fontId="17" fillId="0" borderId="0" xfId="0" applyNumberFormat="1" applyFont="1"/>
    <xf numFmtId="2" fontId="17" fillId="0" borderId="0" xfId="0" applyNumberFormat="1" applyFont="1" applyAlignment="1">
      <alignment horizontal="right"/>
    </xf>
    <xf numFmtId="2" fontId="1" fillId="2" borderId="5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right"/>
    </xf>
    <xf numFmtId="0" fontId="1" fillId="3" borderId="1" xfId="0" applyFont="1" applyFill="1" applyBorder="1"/>
    <xf numFmtId="0" fontId="17" fillId="3" borderId="1" xfId="0" applyFont="1" applyFill="1" applyBorder="1"/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165" fontId="17" fillId="0" borderId="0" xfId="0" applyNumberFormat="1" applyFont="1" applyFill="1"/>
    <xf numFmtId="0" fontId="1" fillId="0" borderId="10" xfId="0" applyFont="1" applyBorder="1" applyAlignment="1"/>
    <xf numFmtId="2" fontId="11" fillId="2" borderId="1" xfId="7" applyNumberFormat="1" applyFont="1" applyFill="1" applyBorder="1" applyAlignment="1" applyProtection="1">
      <alignment horizontal="center" vertical="center"/>
      <protection hidden="1"/>
    </xf>
    <xf numFmtId="2" fontId="11" fillId="2" borderId="1" xfId="8" applyNumberFormat="1" applyFont="1" applyFill="1" applyBorder="1" applyAlignment="1" applyProtection="1">
      <alignment horizontal="center" vertical="center"/>
      <protection hidden="1"/>
    </xf>
    <xf numFmtId="2" fontId="11" fillId="2" borderId="1" xfId="9" applyNumberFormat="1" applyFont="1" applyFill="1" applyBorder="1" applyAlignment="1" applyProtection="1">
      <alignment horizontal="center" vertical="center"/>
      <protection hidden="1"/>
    </xf>
    <xf numFmtId="2" fontId="11" fillId="2" borderId="1" xfId="4" applyNumberFormat="1" applyFont="1" applyFill="1" applyBorder="1" applyAlignment="1" applyProtection="1">
      <alignment horizontal="center" vertical="center"/>
      <protection hidden="1"/>
    </xf>
    <xf numFmtId="2" fontId="11" fillId="2" borderId="1" xfId="5" applyNumberFormat="1" applyFont="1" applyFill="1" applyBorder="1" applyAlignment="1" applyProtection="1">
      <alignment horizontal="center" vertical="center"/>
      <protection hidden="1"/>
    </xf>
    <xf numFmtId="2" fontId="1" fillId="2" borderId="1" xfId="0" applyNumberFormat="1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wrapText="1"/>
    </xf>
    <xf numFmtId="0" fontId="11" fillId="0" borderId="1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vertical="center" wrapText="1"/>
    </xf>
    <xf numFmtId="2" fontId="17" fillId="2" borderId="1" xfId="0" applyNumberFormat="1" applyFont="1" applyFill="1" applyBorder="1"/>
    <xf numFmtId="2" fontId="0" fillId="0" borderId="0" xfId="0" applyNumberFormat="1" applyFill="1"/>
    <xf numFmtId="0" fontId="11" fillId="2" borderId="1" xfId="0" applyFont="1" applyFill="1" applyBorder="1" applyAlignment="1">
      <alignment horizontal="left" vertical="top" wrapText="1"/>
    </xf>
    <xf numFmtId="165" fontId="1" fillId="0" borderId="0" xfId="0" applyNumberFormat="1" applyFont="1" applyFill="1"/>
    <xf numFmtId="165" fontId="1" fillId="2" borderId="0" xfId="0" applyNumberFormat="1" applyFont="1" applyFill="1"/>
    <xf numFmtId="2" fontId="17" fillId="0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" fillId="0" borderId="0" xfId="0" applyNumberFormat="1" applyFont="1"/>
    <xf numFmtId="2" fontId="1" fillId="0" borderId="0" xfId="0" applyNumberFormat="1" applyFont="1"/>
    <xf numFmtId="2" fontId="16" fillId="0" borderId="2" xfId="0" applyNumberFormat="1" applyFont="1" applyFill="1" applyBorder="1" applyAlignment="1">
      <alignment horizontal="center" vertical="center" wrapText="1"/>
    </xf>
    <xf numFmtId="2" fontId="11" fillId="0" borderId="2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top" wrapText="1"/>
    </xf>
    <xf numFmtId="0" fontId="11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left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1" fillId="0" borderId="1" xfId="2" applyFont="1" applyBorder="1" applyAlignment="1" applyProtection="1">
      <alignment horizontal="center" vertical="top" wrapText="1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65" fontId="5" fillId="0" borderId="1" xfId="0" applyNumberFormat="1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3" xfId="2" applyFont="1" applyBorder="1" applyAlignment="1" applyProtection="1">
      <alignment horizontal="center" vertical="top" wrapText="1"/>
    </xf>
    <xf numFmtId="0" fontId="1" fillId="2" borderId="6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wrapText="1"/>
    </xf>
    <xf numFmtId="0" fontId="16" fillId="0" borderId="4" xfId="0" applyFont="1" applyBorder="1" applyAlignment="1">
      <alignment horizontal="left" wrapText="1"/>
    </xf>
    <xf numFmtId="0" fontId="16" fillId="0" borderId="3" xfId="0" applyFont="1" applyBorder="1" applyAlignment="1">
      <alignment horizontal="left" wrapText="1"/>
    </xf>
    <xf numFmtId="2" fontId="16" fillId="0" borderId="1" xfId="0" applyNumberFormat="1" applyFont="1" applyBorder="1" applyAlignment="1">
      <alignment horizontal="center" vertical="center" wrapText="1"/>
    </xf>
    <xf numFmtId="165" fontId="16" fillId="0" borderId="1" xfId="0" applyNumberFormat="1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165" fontId="16" fillId="2" borderId="2" xfId="0" applyNumberFormat="1" applyFont="1" applyFill="1" applyBorder="1" applyAlignment="1">
      <alignment horizontal="center" vertical="center" wrapText="1"/>
    </xf>
    <xf numFmtId="165" fontId="16" fillId="2" borderId="3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top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</cellXfs>
  <cellStyles count="10">
    <cellStyle name="Гиперссылка" xfId="2" builtinId="8"/>
    <cellStyle name="Обычный" xfId="0" builtinId="0"/>
    <cellStyle name="Обычный 2" xfId="1"/>
    <cellStyle name="Обычный 2 2" xfId="4"/>
    <cellStyle name="Обычный 2 3" xfId="5"/>
    <cellStyle name="Обычный 2 4" xfId="6"/>
    <cellStyle name="Обычный 2 5" xfId="7"/>
    <cellStyle name="Обычный 2 6" xfId="8"/>
    <cellStyle name="Обычный 2 7" xfId="9"/>
    <cellStyle name="Финансовый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view="pageBreakPreview" zoomScale="80" zoomScaleSheetLayoutView="80" workbookViewId="0">
      <selection activeCell="D16" sqref="D16:G16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82" t="s">
        <v>0</v>
      </c>
      <c r="I1" s="282"/>
    </row>
    <row r="2" spans="1:9" ht="15.75">
      <c r="A2" s="2"/>
      <c r="B2" s="2"/>
      <c r="C2" s="2"/>
      <c r="D2" s="2"/>
      <c r="E2" s="2"/>
      <c r="F2" s="2"/>
      <c r="G2" s="278" t="s">
        <v>327</v>
      </c>
      <c r="H2" s="278"/>
      <c r="I2" s="278"/>
    </row>
    <row r="3" spans="1:9" ht="13.5" customHeight="1">
      <c r="A3" s="2"/>
      <c r="B3" s="2"/>
      <c r="C3" s="2"/>
      <c r="D3" s="2"/>
      <c r="E3" s="2"/>
      <c r="F3" s="2"/>
      <c r="G3" s="279" t="s">
        <v>38</v>
      </c>
      <c r="H3" s="279"/>
      <c r="I3" s="279"/>
    </row>
    <row r="4" spans="1:9" ht="72.75" customHeight="1">
      <c r="A4" s="2"/>
      <c r="B4" s="2"/>
      <c r="C4" s="2"/>
      <c r="D4" s="2"/>
      <c r="E4" s="2"/>
      <c r="F4" s="2"/>
      <c r="G4" s="280" t="s">
        <v>348</v>
      </c>
      <c r="H4" s="280"/>
      <c r="I4" s="280"/>
    </row>
    <row r="5" spans="1:9" ht="15.75">
      <c r="A5" s="2"/>
      <c r="B5" s="2"/>
      <c r="C5" s="2"/>
      <c r="D5" s="2"/>
      <c r="E5" s="2"/>
      <c r="F5" s="2"/>
      <c r="G5" s="281" t="s">
        <v>39</v>
      </c>
      <c r="H5" s="281"/>
      <c r="I5" s="281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347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417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83" t="s">
        <v>418</v>
      </c>
      <c r="C10" s="283"/>
      <c r="D10" s="283"/>
      <c r="E10" s="283"/>
      <c r="F10" s="283"/>
      <c r="G10" s="283"/>
      <c r="H10" s="283"/>
      <c r="I10" s="2"/>
    </row>
    <row r="11" spans="1:9" ht="15.75">
      <c r="A11" s="2"/>
      <c r="B11" s="283" t="s">
        <v>419</v>
      </c>
      <c r="C11" s="283"/>
      <c r="D11" s="283"/>
      <c r="E11" s="283"/>
      <c r="F11" s="283"/>
      <c r="G11" s="283"/>
      <c r="H11" s="283"/>
      <c r="I11" s="26"/>
    </row>
    <row r="12" spans="1:9" ht="15.75">
      <c r="A12" s="2"/>
      <c r="B12" s="2"/>
      <c r="C12" s="2"/>
      <c r="D12" s="2"/>
      <c r="E12" s="4"/>
      <c r="F12" s="2"/>
      <c r="G12" s="2"/>
      <c r="H12" s="2"/>
      <c r="I12" s="26"/>
    </row>
    <row r="13" spans="1:9" ht="15.75">
      <c r="A13" s="2"/>
      <c r="B13" s="283" t="s">
        <v>420</v>
      </c>
      <c r="C13" s="283"/>
      <c r="D13" s="283"/>
      <c r="E13" s="283"/>
      <c r="F13" s="283"/>
      <c r="G13" s="283"/>
      <c r="H13" s="283"/>
      <c r="I13" s="18" t="s">
        <v>17</v>
      </c>
    </row>
    <row r="14" spans="1:9" ht="15.75">
      <c r="A14" s="2"/>
      <c r="B14" s="2"/>
      <c r="C14" s="2"/>
      <c r="D14" s="2"/>
      <c r="E14" s="2"/>
      <c r="F14" s="2"/>
      <c r="G14" s="2"/>
      <c r="H14" s="1" t="s">
        <v>16</v>
      </c>
      <c r="I14" s="151">
        <v>44197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3" t="s">
        <v>41</v>
      </c>
      <c r="I15" s="16"/>
    </row>
    <row r="16" spans="1:9" ht="55.5" customHeight="1">
      <c r="A16" s="276" t="s">
        <v>1</v>
      </c>
      <c r="B16" s="276"/>
      <c r="C16" s="276"/>
      <c r="D16" s="277" t="s">
        <v>243</v>
      </c>
      <c r="E16" s="277"/>
      <c r="F16" s="277"/>
      <c r="G16" s="277"/>
      <c r="H16" s="24" t="s">
        <v>42</v>
      </c>
      <c r="I16" s="8">
        <v>771</v>
      </c>
    </row>
    <row r="17" spans="1:9" ht="22.5" customHeight="1">
      <c r="A17" s="19"/>
      <c r="B17" s="19"/>
      <c r="C17" s="19"/>
      <c r="D17" s="19"/>
      <c r="E17" s="21"/>
      <c r="F17" s="21"/>
      <c r="G17" s="21"/>
      <c r="H17" s="23" t="s">
        <v>41</v>
      </c>
      <c r="I17" s="9"/>
    </row>
    <row r="18" spans="1:9" ht="20.25" customHeight="1">
      <c r="A18" s="19"/>
      <c r="B18" s="19"/>
      <c r="C18" s="19"/>
      <c r="D18" s="19"/>
      <c r="E18" s="20"/>
      <c r="F18" s="21"/>
      <c r="G18" s="21"/>
      <c r="H18" s="22" t="s">
        <v>43</v>
      </c>
      <c r="I18" s="2">
        <v>5647005397</v>
      </c>
    </row>
    <row r="19" spans="1:9" ht="71.25" customHeight="1">
      <c r="A19" s="276" t="s">
        <v>46</v>
      </c>
      <c r="B19" s="276"/>
      <c r="C19" s="276"/>
      <c r="D19" s="277" t="s">
        <v>348</v>
      </c>
      <c r="E19" s="277"/>
      <c r="F19" s="277"/>
      <c r="G19" s="277"/>
      <c r="H19" s="22" t="s">
        <v>44</v>
      </c>
      <c r="I19" s="95">
        <v>564701001</v>
      </c>
    </row>
    <row r="20" spans="1:9" ht="24" customHeight="1">
      <c r="A20" s="276" t="s">
        <v>45</v>
      </c>
      <c r="B20" s="276"/>
      <c r="C20" s="276"/>
      <c r="D20" s="276"/>
      <c r="E20" s="25"/>
      <c r="F20" s="25"/>
      <c r="G20" s="25"/>
      <c r="H20" s="24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H1:I1"/>
    <mergeCell ref="B10:H10"/>
    <mergeCell ref="B11:H11"/>
    <mergeCell ref="B13:H13"/>
    <mergeCell ref="A16:C16"/>
    <mergeCell ref="D16:G16"/>
    <mergeCell ref="A20:D20"/>
    <mergeCell ref="A19:C19"/>
    <mergeCell ref="D19:G19"/>
    <mergeCell ref="G2:I2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1"/>
  <sheetViews>
    <sheetView view="pageBreakPreview" zoomScale="90" zoomScaleNormal="90" zoomScaleSheetLayoutView="90" workbookViewId="0">
      <selection activeCell="F61" sqref="F61"/>
    </sheetView>
  </sheetViews>
  <sheetFormatPr defaultRowHeight="15"/>
  <cols>
    <col min="1" max="1" width="47.28515625" customWidth="1"/>
    <col min="3" max="3" width="18.140625" customWidth="1"/>
    <col min="4" max="4" width="15.85546875" customWidth="1"/>
    <col min="5" max="5" width="15.140625" customWidth="1"/>
    <col min="6" max="6" width="14.7109375" customWidth="1"/>
    <col min="7" max="7" width="16.7109375" customWidth="1"/>
    <col min="8" max="8" width="12" bestFit="1" customWidth="1"/>
  </cols>
  <sheetData>
    <row r="1" spans="1:8">
      <c r="D1" s="165">
        <f>D11-D31</f>
        <v>-50013.679999999702</v>
      </c>
      <c r="E1" s="165">
        <f>E11-E31</f>
        <v>0</v>
      </c>
      <c r="F1" s="165">
        <f t="shared" ref="F1" si="0">F11-F31</f>
        <v>0</v>
      </c>
    </row>
    <row r="2" spans="1:8">
      <c r="D2" t="b">
        <f>D11+D9=D31</f>
        <v>1</v>
      </c>
      <c r="E2" t="b">
        <f t="shared" ref="E2:F2" si="1">E11=E31</f>
        <v>1</v>
      </c>
      <c r="F2" t="b">
        <f t="shared" si="1"/>
        <v>1</v>
      </c>
    </row>
    <row r="4" spans="1:8" ht="15.75">
      <c r="B4" s="282" t="s">
        <v>349</v>
      </c>
      <c r="C4" s="282"/>
      <c r="D4" s="282"/>
      <c r="E4" s="282"/>
    </row>
    <row r="5" spans="1:8" ht="15.75">
      <c r="A5" s="13"/>
    </row>
    <row r="6" spans="1:8" ht="33.75" customHeight="1">
      <c r="A6" s="284" t="s">
        <v>3</v>
      </c>
      <c r="B6" s="284" t="s">
        <v>5</v>
      </c>
      <c r="C6" s="284" t="s">
        <v>6</v>
      </c>
      <c r="D6" s="284" t="s">
        <v>47</v>
      </c>
      <c r="E6" s="284"/>
      <c r="F6" s="284"/>
      <c r="G6" s="284"/>
      <c r="H6" s="12"/>
    </row>
    <row r="7" spans="1:8" ht="111" customHeight="1">
      <c r="A7" s="284"/>
      <c r="B7" s="284"/>
      <c r="C7" s="284"/>
      <c r="D7" s="269" t="s">
        <v>421</v>
      </c>
      <c r="E7" s="269" t="s">
        <v>422</v>
      </c>
      <c r="F7" s="269" t="s">
        <v>423</v>
      </c>
      <c r="G7" s="47" t="s">
        <v>48</v>
      </c>
      <c r="H7" s="12"/>
    </row>
    <row r="8" spans="1:8" ht="15.75">
      <c r="A8" s="33">
        <v>1</v>
      </c>
      <c r="B8" s="33">
        <v>2</v>
      </c>
      <c r="C8" s="33">
        <v>3</v>
      </c>
      <c r="D8" s="33">
        <v>4</v>
      </c>
      <c r="E8" s="33">
        <v>5</v>
      </c>
      <c r="F8" s="33">
        <v>6</v>
      </c>
      <c r="G8" s="33">
        <v>7</v>
      </c>
      <c r="H8" s="12"/>
    </row>
    <row r="9" spans="1:8" ht="31.5">
      <c r="A9" s="41" t="s">
        <v>49</v>
      </c>
      <c r="B9" s="35" t="s">
        <v>57</v>
      </c>
      <c r="C9" s="29" t="s">
        <v>12</v>
      </c>
      <c r="D9" s="32">
        <v>50013.68</v>
      </c>
      <c r="E9" s="32">
        <v>0</v>
      </c>
      <c r="F9" s="32">
        <v>0</v>
      </c>
      <c r="G9" s="156">
        <v>0</v>
      </c>
      <c r="H9" s="17"/>
    </row>
    <row r="10" spans="1:8" ht="31.5">
      <c r="A10" s="41" t="s">
        <v>50</v>
      </c>
      <c r="B10" s="35" t="s">
        <v>58</v>
      </c>
      <c r="C10" s="29" t="s">
        <v>12</v>
      </c>
      <c r="D10" s="32">
        <f>D9+D11-D31</f>
        <v>0</v>
      </c>
      <c r="E10" s="119">
        <f>E9+E11-E31</f>
        <v>0</v>
      </c>
      <c r="F10" s="119">
        <f t="shared" ref="F10:G10" si="2">F9+F11-F31</f>
        <v>0</v>
      </c>
      <c r="G10" s="32">
        <f t="shared" si="2"/>
        <v>0</v>
      </c>
      <c r="H10" s="17"/>
    </row>
    <row r="11" spans="1:8" ht="22.5" customHeight="1">
      <c r="A11" s="52" t="s">
        <v>51</v>
      </c>
      <c r="B11" s="35" t="s">
        <v>59</v>
      </c>
      <c r="C11" s="29"/>
      <c r="D11" s="32">
        <f>D12+D14+D17+D19+D24+D26+D30</f>
        <v>22838504</v>
      </c>
      <c r="E11" s="32">
        <f>E12+E14+E17+E19+E24+E26+E30</f>
        <v>20109931</v>
      </c>
      <c r="F11" s="32">
        <f>F12+F14+F17+F19+F24+F26+F30</f>
        <v>20266931</v>
      </c>
      <c r="G11" s="32">
        <v>0</v>
      </c>
      <c r="H11" s="7"/>
    </row>
    <row r="12" spans="1:8" ht="36" customHeight="1">
      <c r="A12" s="9" t="s">
        <v>52</v>
      </c>
      <c r="B12" s="35" t="s">
        <v>60</v>
      </c>
      <c r="C12" s="53">
        <v>120</v>
      </c>
      <c r="D12" s="15"/>
      <c r="E12" s="15"/>
      <c r="F12" s="15"/>
      <c r="G12" s="15"/>
      <c r="H12" s="6"/>
    </row>
    <row r="13" spans="1:8" ht="21" customHeight="1">
      <c r="A13" s="9" t="s">
        <v>64</v>
      </c>
      <c r="B13" s="35" t="s">
        <v>61</v>
      </c>
      <c r="C13" s="53"/>
      <c r="D13" s="15"/>
      <c r="E13" s="15"/>
      <c r="F13" s="15"/>
      <c r="G13" s="152"/>
      <c r="H13" s="6"/>
    </row>
    <row r="14" spans="1:8" ht="41.25" customHeight="1">
      <c r="A14" s="9" t="s">
        <v>340</v>
      </c>
      <c r="B14" s="35" t="s">
        <v>62</v>
      </c>
      <c r="C14" s="47">
        <v>130</v>
      </c>
      <c r="D14" s="32">
        <f>D15+D16</f>
        <v>20859960</v>
      </c>
      <c r="E14" s="32">
        <f t="shared" ref="E14:G14" si="3">E15+E16</f>
        <v>19022840</v>
      </c>
      <c r="F14" s="32">
        <f t="shared" si="3"/>
        <v>19179840</v>
      </c>
      <c r="G14" s="32">
        <f t="shared" si="3"/>
        <v>0</v>
      </c>
      <c r="H14" s="7"/>
    </row>
    <row r="15" spans="1:8" ht="69.75" customHeight="1">
      <c r="A15" s="9" t="s">
        <v>53</v>
      </c>
      <c r="B15" s="35" t="s">
        <v>63</v>
      </c>
      <c r="C15" s="47">
        <v>130</v>
      </c>
      <c r="D15" s="206">
        <v>19922004</v>
      </c>
      <c r="E15" s="207">
        <v>18084884</v>
      </c>
      <c r="F15" s="208">
        <v>18241884</v>
      </c>
      <c r="G15" s="152"/>
      <c r="H15" s="7"/>
    </row>
    <row r="16" spans="1:8" s="64" customFormat="1" ht="57" customHeight="1">
      <c r="A16" s="91" t="s">
        <v>341</v>
      </c>
      <c r="B16" s="92" t="s">
        <v>342</v>
      </c>
      <c r="C16" s="95">
        <v>130</v>
      </c>
      <c r="D16" s="209">
        <v>937956</v>
      </c>
      <c r="E16" s="210">
        <v>937956</v>
      </c>
      <c r="F16" s="208">
        <f>E16</f>
        <v>937956</v>
      </c>
      <c r="G16" s="95"/>
      <c r="H16" s="96"/>
    </row>
    <row r="17" spans="1:8" ht="36" customHeight="1">
      <c r="A17" s="9" t="s">
        <v>54</v>
      </c>
      <c r="B17" s="35" t="s">
        <v>65</v>
      </c>
      <c r="C17" s="47">
        <v>140</v>
      </c>
      <c r="D17" s="15"/>
      <c r="E17" s="15"/>
      <c r="F17" s="15"/>
      <c r="G17" s="15"/>
      <c r="H17" s="6"/>
    </row>
    <row r="18" spans="1:8" ht="20.25" customHeight="1">
      <c r="A18" s="9" t="s">
        <v>55</v>
      </c>
      <c r="B18" s="35" t="s">
        <v>66</v>
      </c>
      <c r="C18" s="53">
        <v>140</v>
      </c>
      <c r="D18" s="15"/>
      <c r="E18" s="15"/>
      <c r="F18" s="15"/>
      <c r="G18" s="152"/>
      <c r="H18" s="6"/>
    </row>
    <row r="19" spans="1:8" ht="20.25" customHeight="1">
      <c r="A19" s="9" t="s">
        <v>56</v>
      </c>
      <c r="B19" s="35" t="s">
        <v>67</v>
      </c>
      <c r="C19" s="47">
        <v>150</v>
      </c>
      <c r="D19" s="32">
        <f>SUM(D20:D21)</f>
        <v>1978544</v>
      </c>
      <c r="E19" s="32">
        <f t="shared" ref="E19:G19" si="4">SUM(E20:E21)</f>
        <v>1087091</v>
      </c>
      <c r="F19" s="32">
        <f t="shared" si="4"/>
        <v>1087091</v>
      </c>
      <c r="G19" s="32">
        <f t="shared" si="4"/>
        <v>0</v>
      </c>
      <c r="H19" s="6"/>
    </row>
    <row r="20" spans="1:8" ht="36" customHeight="1">
      <c r="A20" s="91" t="s">
        <v>68</v>
      </c>
      <c r="B20" s="35" t="s">
        <v>69</v>
      </c>
      <c r="C20" s="47">
        <v>150</v>
      </c>
      <c r="D20" s="15">
        <v>1978544</v>
      </c>
      <c r="E20" s="94">
        <v>1087091</v>
      </c>
      <c r="F20" s="94">
        <f>E20</f>
        <v>1087091</v>
      </c>
      <c r="G20" s="152"/>
      <c r="H20" s="6"/>
    </row>
    <row r="21" spans="1:8" ht="36" customHeight="1">
      <c r="A21" s="9" t="s">
        <v>8</v>
      </c>
      <c r="B21" s="35" t="s">
        <v>70</v>
      </c>
      <c r="C21" s="47">
        <v>150</v>
      </c>
      <c r="D21" s="15"/>
      <c r="E21" s="15"/>
      <c r="F21" s="15"/>
      <c r="G21" s="152"/>
      <c r="H21" s="6"/>
    </row>
    <row r="22" spans="1:8" ht="20.25" hidden="1" customHeight="1">
      <c r="A22" s="9"/>
      <c r="B22" s="35"/>
      <c r="C22" s="152">
        <v>150</v>
      </c>
      <c r="D22" s="15"/>
      <c r="E22" s="15"/>
      <c r="F22" s="15"/>
      <c r="G22" s="152"/>
      <c r="H22" s="6"/>
    </row>
    <row r="23" spans="1:8" ht="20.25" hidden="1" customHeight="1">
      <c r="A23" s="9"/>
      <c r="B23" s="35"/>
      <c r="C23" s="152">
        <v>150</v>
      </c>
      <c r="D23" s="15"/>
      <c r="E23" s="15"/>
      <c r="F23" s="15"/>
      <c r="G23" s="152"/>
      <c r="H23" s="6"/>
    </row>
    <row r="24" spans="1:8" ht="18" customHeight="1">
      <c r="A24" s="9" t="s">
        <v>71</v>
      </c>
      <c r="B24" s="35" t="s">
        <v>72</v>
      </c>
      <c r="C24" s="47">
        <v>180</v>
      </c>
      <c r="D24" s="15"/>
      <c r="E24" s="15"/>
      <c r="F24" s="15"/>
      <c r="G24" s="15"/>
      <c r="H24" s="7"/>
    </row>
    <row r="25" spans="1:8" ht="18.75" customHeight="1">
      <c r="A25" s="9" t="s">
        <v>64</v>
      </c>
      <c r="B25" s="35" t="s">
        <v>73</v>
      </c>
      <c r="C25" s="53">
        <v>180</v>
      </c>
      <c r="D25" s="15"/>
      <c r="E25" s="15"/>
      <c r="F25" s="15"/>
      <c r="G25" s="152"/>
      <c r="H25" s="6"/>
    </row>
    <row r="26" spans="1:8" ht="19.5" customHeight="1">
      <c r="A26" s="9" t="s">
        <v>74</v>
      </c>
      <c r="B26" s="35" t="s">
        <v>75</v>
      </c>
      <c r="C26" s="47">
        <v>400</v>
      </c>
      <c r="D26" s="15"/>
      <c r="E26" s="15"/>
      <c r="F26" s="15"/>
      <c r="G26" s="15"/>
      <c r="H26" s="6"/>
    </row>
    <row r="27" spans="1:8" ht="18.75" customHeight="1">
      <c r="A27" s="9" t="s">
        <v>64</v>
      </c>
      <c r="B27" s="35" t="s">
        <v>76</v>
      </c>
      <c r="C27" s="53">
        <v>400</v>
      </c>
      <c r="D27" s="15"/>
      <c r="E27" s="15"/>
      <c r="F27" s="15"/>
      <c r="G27" s="152"/>
      <c r="H27" s="6"/>
    </row>
    <row r="28" spans="1:8" ht="18.75" hidden="1" customHeight="1">
      <c r="A28" s="9"/>
      <c r="B28" s="35" t="s">
        <v>77</v>
      </c>
      <c r="C28" s="53">
        <v>400</v>
      </c>
      <c r="D28" s="15"/>
      <c r="E28" s="15"/>
      <c r="F28" s="15"/>
      <c r="G28" s="152"/>
      <c r="H28" s="6"/>
    </row>
    <row r="29" spans="1:8" ht="18.75" customHeight="1">
      <c r="A29" s="9" t="s">
        <v>78</v>
      </c>
      <c r="B29" s="35" t="s">
        <v>79</v>
      </c>
      <c r="C29" s="53">
        <v>400</v>
      </c>
      <c r="D29" s="15"/>
      <c r="E29" s="15"/>
      <c r="F29" s="15"/>
      <c r="G29" s="15" t="str">
        <f t="shared" ref="G29" si="5">G30</f>
        <v>х</v>
      </c>
      <c r="H29" s="6"/>
    </row>
    <row r="30" spans="1:8" ht="66.75" customHeight="1">
      <c r="A30" s="9" t="s">
        <v>80</v>
      </c>
      <c r="B30" s="35" t="s">
        <v>81</v>
      </c>
      <c r="C30" s="53">
        <v>510</v>
      </c>
      <c r="D30" s="15"/>
      <c r="E30" s="15"/>
      <c r="F30" s="15"/>
      <c r="G30" s="152" t="s">
        <v>12</v>
      </c>
      <c r="H30" s="6"/>
    </row>
    <row r="31" spans="1:8" s="11" customFormat="1" ht="20.25" customHeight="1">
      <c r="A31" s="52" t="s">
        <v>82</v>
      </c>
      <c r="B31" s="35" t="s">
        <v>83</v>
      </c>
      <c r="C31" s="29" t="s">
        <v>12</v>
      </c>
      <c r="D31" s="32">
        <f>D33+D34+D35+D36+D40+D46+D55</f>
        <v>22888517.68</v>
      </c>
      <c r="E31" s="32">
        <f>E33+E34+E35+E36+E40+E46+E55</f>
        <v>20109931</v>
      </c>
      <c r="F31" s="32">
        <f t="shared" ref="F31" si="6">F33+F34+F35+F36+F40+F46+F55</f>
        <v>20266931</v>
      </c>
      <c r="G31" s="32"/>
      <c r="H31" s="14"/>
    </row>
    <row r="32" spans="1:8" ht="33" customHeight="1">
      <c r="A32" s="9" t="s">
        <v>84</v>
      </c>
      <c r="B32" s="35" t="s">
        <v>85</v>
      </c>
      <c r="C32" s="47" t="s">
        <v>12</v>
      </c>
      <c r="D32" s="15">
        <f>D33+D34+D35+D37</f>
        <v>18478164</v>
      </c>
      <c r="E32" s="15">
        <f t="shared" ref="E32:F32" si="7">E33+E34+E35+E37</f>
        <v>18340724</v>
      </c>
      <c r="F32" s="15">
        <f t="shared" si="7"/>
        <v>18340724</v>
      </c>
      <c r="G32" s="152" t="s">
        <v>12</v>
      </c>
      <c r="H32" s="7"/>
    </row>
    <row r="33" spans="1:9" ht="33" customHeight="1">
      <c r="A33" s="9" t="s">
        <v>86</v>
      </c>
      <c r="B33" s="35" t="s">
        <v>87</v>
      </c>
      <c r="C33" s="47">
        <v>111</v>
      </c>
      <c r="D33" s="94">
        <v>14184442</v>
      </c>
      <c r="E33" s="94">
        <v>14078882</v>
      </c>
      <c r="F33" s="94">
        <v>14078882</v>
      </c>
      <c r="G33" s="152" t="s">
        <v>12</v>
      </c>
      <c r="H33" s="7"/>
    </row>
    <row r="34" spans="1:9" ht="38.25" customHeight="1">
      <c r="A34" s="39" t="s">
        <v>88</v>
      </c>
      <c r="B34" s="35" t="s">
        <v>89</v>
      </c>
      <c r="C34" s="47">
        <v>112</v>
      </c>
      <c r="D34" s="15">
        <v>10000</v>
      </c>
      <c r="E34" s="15">
        <v>10000</v>
      </c>
      <c r="F34" s="15">
        <v>10000</v>
      </c>
      <c r="G34" s="152" t="s">
        <v>12</v>
      </c>
      <c r="H34" s="7"/>
    </row>
    <row r="35" spans="1:9" ht="47.25">
      <c r="A35" s="39" t="s">
        <v>90</v>
      </c>
      <c r="B35" s="38">
        <v>2130</v>
      </c>
      <c r="C35" s="40">
        <v>113</v>
      </c>
      <c r="D35" s="43"/>
      <c r="E35" s="43"/>
      <c r="F35" s="43"/>
      <c r="G35" s="152" t="s">
        <v>12</v>
      </c>
    </row>
    <row r="36" spans="1:9" ht="68.25" customHeight="1">
      <c r="A36" s="39" t="s">
        <v>91</v>
      </c>
      <c r="B36" s="35" t="s">
        <v>92</v>
      </c>
      <c r="C36" s="47" t="s">
        <v>13</v>
      </c>
      <c r="D36" s="32">
        <f>SUM(D37:D38)</f>
        <v>4283722</v>
      </c>
      <c r="E36" s="32">
        <f t="shared" ref="E36:F36" si="8">SUM(E37:E38)</f>
        <v>4251842</v>
      </c>
      <c r="F36" s="32">
        <f t="shared" si="8"/>
        <v>4251842</v>
      </c>
      <c r="G36" s="152" t="s">
        <v>12</v>
      </c>
      <c r="H36" s="7"/>
    </row>
    <row r="37" spans="1:9" s="64" customFormat="1" ht="33" customHeight="1">
      <c r="A37" s="91" t="s">
        <v>93</v>
      </c>
      <c r="B37" s="92" t="s">
        <v>94</v>
      </c>
      <c r="C37" s="95">
        <v>119</v>
      </c>
      <c r="D37" s="94">
        <v>4283722</v>
      </c>
      <c r="E37" s="94">
        <v>4251842</v>
      </c>
      <c r="F37" s="94">
        <v>4251842</v>
      </c>
      <c r="G37" s="95" t="s">
        <v>12</v>
      </c>
      <c r="H37" s="96"/>
    </row>
    <row r="38" spans="1:9" s="64" customFormat="1" ht="16.5" customHeight="1">
      <c r="A38" s="91" t="s">
        <v>95</v>
      </c>
      <c r="B38" s="92" t="s">
        <v>96</v>
      </c>
      <c r="C38" s="95">
        <v>119</v>
      </c>
      <c r="D38" s="94"/>
      <c r="E38" s="94"/>
      <c r="F38" s="94"/>
      <c r="G38" s="95"/>
      <c r="H38" s="96"/>
    </row>
    <row r="39" spans="1:9" s="64" customFormat="1" ht="16.5" customHeight="1">
      <c r="A39" s="91" t="s">
        <v>430</v>
      </c>
      <c r="B39" s="92" t="s">
        <v>431</v>
      </c>
      <c r="C39" s="95">
        <v>139</v>
      </c>
      <c r="D39" s="94"/>
      <c r="E39" s="94"/>
      <c r="F39" s="94"/>
      <c r="G39" s="95"/>
      <c r="H39" s="96"/>
    </row>
    <row r="40" spans="1:9" ht="18.75" customHeight="1">
      <c r="A40" s="9" t="s">
        <v>10</v>
      </c>
      <c r="B40" s="35" t="s">
        <v>97</v>
      </c>
      <c r="C40" s="47">
        <v>300</v>
      </c>
      <c r="D40" s="15"/>
      <c r="E40" s="15"/>
      <c r="F40" s="15"/>
      <c r="G40" s="152" t="s">
        <v>12</v>
      </c>
      <c r="H40" s="7"/>
    </row>
    <row r="41" spans="1:9" s="64" customFormat="1" ht="50.25" customHeight="1">
      <c r="A41" s="91" t="s">
        <v>98</v>
      </c>
      <c r="B41" s="92" t="s">
        <v>99</v>
      </c>
      <c r="C41" s="93" t="s">
        <v>100</v>
      </c>
      <c r="D41" s="94"/>
      <c r="E41" s="94"/>
      <c r="F41" s="94"/>
      <c r="G41" s="95" t="s">
        <v>12</v>
      </c>
      <c r="H41" s="96"/>
    </row>
    <row r="42" spans="1:9" s="64" customFormat="1" ht="68.25" customHeight="1">
      <c r="A42" s="91" t="s">
        <v>101</v>
      </c>
      <c r="B42" s="92" t="s">
        <v>102</v>
      </c>
      <c r="C42" s="93" t="s">
        <v>103</v>
      </c>
      <c r="D42" s="94"/>
      <c r="E42" s="94"/>
      <c r="F42" s="94"/>
      <c r="G42" s="95" t="s">
        <v>12</v>
      </c>
      <c r="H42" s="96"/>
    </row>
    <row r="43" spans="1:9" s="64" customFormat="1" ht="20.25" customHeight="1">
      <c r="A43" s="91" t="s">
        <v>269</v>
      </c>
      <c r="B43" s="92" t="s">
        <v>104</v>
      </c>
      <c r="C43" s="93" t="s">
        <v>105</v>
      </c>
      <c r="D43" s="94"/>
      <c r="E43" s="94"/>
      <c r="F43" s="94"/>
      <c r="G43" s="95" t="s">
        <v>12</v>
      </c>
      <c r="H43" s="96"/>
    </row>
    <row r="44" spans="1:9" s="64" customFormat="1" ht="84.75" customHeight="1">
      <c r="A44" s="91" t="s">
        <v>106</v>
      </c>
      <c r="B44" s="92" t="s">
        <v>107</v>
      </c>
      <c r="C44" s="95">
        <v>350</v>
      </c>
      <c r="D44" s="94"/>
      <c r="E44" s="94"/>
      <c r="F44" s="94"/>
      <c r="G44" s="95" t="s">
        <v>12</v>
      </c>
      <c r="H44" s="97"/>
      <c r="I44" s="98"/>
    </row>
    <row r="45" spans="1:9" s="64" customFormat="1" ht="21" customHeight="1">
      <c r="A45" s="91" t="s">
        <v>108</v>
      </c>
      <c r="B45" s="92" t="s">
        <v>109</v>
      </c>
      <c r="C45" s="95">
        <v>360</v>
      </c>
      <c r="D45" s="94"/>
      <c r="E45" s="94"/>
      <c r="F45" s="94"/>
      <c r="G45" s="95" t="s">
        <v>12</v>
      </c>
      <c r="H45" s="97"/>
      <c r="I45" s="98"/>
    </row>
    <row r="46" spans="1:9" ht="21" customHeight="1">
      <c r="A46" s="39" t="s">
        <v>110</v>
      </c>
      <c r="B46" s="35" t="s">
        <v>111</v>
      </c>
      <c r="C46" s="47">
        <v>850</v>
      </c>
      <c r="D46" s="32">
        <f>SUM(D47:D49)</f>
        <v>18020</v>
      </c>
      <c r="E46" s="32">
        <f t="shared" ref="E46:F46" si="9">SUM(E47:E49)</f>
        <v>0</v>
      </c>
      <c r="F46" s="32">
        <f t="shared" si="9"/>
        <v>0</v>
      </c>
      <c r="G46" s="152" t="s">
        <v>12</v>
      </c>
      <c r="H46" s="7"/>
    </row>
    <row r="47" spans="1:9" ht="47.25" customHeight="1">
      <c r="A47" s="9" t="s">
        <v>270</v>
      </c>
      <c r="B47" s="35" t="s">
        <v>112</v>
      </c>
      <c r="C47" s="47">
        <v>851</v>
      </c>
      <c r="D47" s="15">
        <v>18020</v>
      </c>
      <c r="E47" s="15">
        <v>0</v>
      </c>
      <c r="F47" s="15">
        <v>0</v>
      </c>
      <c r="G47" s="152" t="s">
        <v>12</v>
      </c>
      <c r="H47" s="7"/>
    </row>
    <row r="48" spans="1:9" ht="51.75" customHeight="1">
      <c r="A48" s="9" t="s">
        <v>113</v>
      </c>
      <c r="B48" s="35" t="s">
        <v>114</v>
      </c>
      <c r="C48" s="47">
        <v>852</v>
      </c>
      <c r="D48" s="15"/>
      <c r="E48" s="15"/>
      <c r="F48" s="15"/>
      <c r="G48" s="152" t="s">
        <v>12</v>
      </c>
      <c r="H48" s="7"/>
    </row>
    <row r="49" spans="1:8" ht="34.5" customHeight="1">
      <c r="A49" s="9" t="s">
        <v>115</v>
      </c>
      <c r="B49" s="35" t="s">
        <v>116</v>
      </c>
      <c r="C49" s="47">
        <v>853</v>
      </c>
      <c r="D49" s="15"/>
      <c r="E49" s="15"/>
      <c r="F49" s="15"/>
      <c r="G49" s="152" t="s">
        <v>12</v>
      </c>
      <c r="H49" s="7"/>
    </row>
    <row r="50" spans="1:8" s="64" customFormat="1" ht="31.5">
      <c r="A50" s="91" t="s">
        <v>117</v>
      </c>
      <c r="B50" s="92" t="s">
        <v>118</v>
      </c>
      <c r="C50" s="95" t="s">
        <v>12</v>
      </c>
      <c r="D50" s="94"/>
      <c r="E50" s="94"/>
      <c r="F50" s="94"/>
      <c r="G50" s="95" t="s">
        <v>12</v>
      </c>
      <c r="H50" s="96"/>
    </row>
    <row r="51" spans="1:8" s="64" customFormat="1" ht="47.25" customHeight="1">
      <c r="A51" s="91" t="s">
        <v>359</v>
      </c>
      <c r="B51" s="92" t="s">
        <v>119</v>
      </c>
      <c r="C51" s="95">
        <v>613</v>
      </c>
      <c r="D51" s="94"/>
      <c r="E51" s="94"/>
      <c r="F51" s="94"/>
      <c r="G51" s="95" t="s">
        <v>12</v>
      </c>
      <c r="H51" s="96"/>
    </row>
    <row r="52" spans="1:8" s="64" customFormat="1" ht="47.25" customHeight="1">
      <c r="A52" s="91" t="s">
        <v>360</v>
      </c>
      <c r="B52" s="92" t="s">
        <v>361</v>
      </c>
      <c r="C52" s="95">
        <v>623</v>
      </c>
      <c r="D52" s="94"/>
      <c r="E52" s="94"/>
      <c r="F52" s="94"/>
      <c r="G52" s="95"/>
      <c r="H52" s="96"/>
    </row>
    <row r="53" spans="1:8" ht="35.25" customHeight="1">
      <c r="A53" s="9" t="s">
        <v>120</v>
      </c>
      <c r="B53" s="35" t="s">
        <v>121</v>
      </c>
      <c r="C53" s="47" t="s">
        <v>12</v>
      </c>
      <c r="D53" s="15"/>
      <c r="E53" s="15"/>
      <c r="F53" s="15"/>
      <c r="G53" s="152" t="s">
        <v>12</v>
      </c>
      <c r="H53" s="7"/>
    </row>
    <row r="54" spans="1:8" ht="68.25" customHeight="1">
      <c r="A54" s="9" t="s">
        <v>122</v>
      </c>
      <c r="B54" s="35" t="s">
        <v>123</v>
      </c>
      <c r="C54" s="47">
        <v>831</v>
      </c>
      <c r="D54" s="15"/>
      <c r="E54" s="15"/>
      <c r="F54" s="15"/>
      <c r="G54" s="15" t="s">
        <v>12</v>
      </c>
      <c r="H54" s="7"/>
    </row>
    <row r="55" spans="1:8" ht="33" customHeight="1">
      <c r="A55" s="39" t="s">
        <v>124</v>
      </c>
      <c r="B55" s="35" t="s">
        <v>125</v>
      </c>
      <c r="C55" s="47" t="s">
        <v>12</v>
      </c>
      <c r="D55" s="32">
        <f>SUM(D56:D60)</f>
        <v>4392333.68</v>
      </c>
      <c r="E55" s="32">
        <f t="shared" ref="E55:G55" si="10">SUM(E56:E60)</f>
        <v>1769207</v>
      </c>
      <c r="F55" s="32">
        <f t="shared" si="10"/>
        <v>1926207</v>
      </c>
      <c r="G55" s="32">
        <f t="shared" si="10"/>
        <v>0</v>
      </c>
      <c r="H55" s="7"/>
    </row>
    <row r="56" spans="1:8" s="64" customFormat="1" ht="47.25">
      <c r="A56" s="99" t="s">
        <v>126</v>
      </c>
      <c r="B56" s="100">
        <v>2610</v>
      </c>
      <c r="C56" s="101">
        <v>241</v>
      </c>
      <c r="D56" s="211"/>
      <c r="E56" s="211"/>
      <c r="F56" s="211"/>
      <c r="G56" s="101"/>
    </row>
    <row r="57" spans="1:8" ht="38.25" customHeight="1">
      <c r="A57" s="39" t="s">
        <v>127</v>
      </c>
      <c r="B57" s="38">
        <v>2630</v>
      </c>
      <c r="C57" s="40">
        <v>243</v>
      </c>
      <c r="D57" s="43"/>
      <c r="E57" s="43"/>
      <c r="F57" s="43"/>
      <c r="G57" s="40"/>
    </row>
    <row r="58" spans="1:8" ht="22.5" customHeight="1">
      <c r="A58" s="39" t="s">
        <v>128</v>
      </c>
      <c r="B58" s="38">
        <v>2640</v>
      </c>
      <c r="C58" s="40">
        <v>244</v>
      </c>
      <c r="D58" s="43">
        <v>2513733.6800000002</v>
      </c>
      <c r="E58" s="211">
        <v>1219207</v>
      </c>
      <c r="F58" s="211">
        <v>1222007</v>
      </c>
      <c r="G58" s="170">
        <v>0</v>
      </c>
    </row>
    <row r="59" spans="1:8" ht="18.75" customHeight="1">
      <c r="A59" s="9" t="s">
        <v>129</v>
      </c>
      <c r="B59" s="35"/>
      <c r="C59" s="53"/>
      <c r="D59" s="15"/>
      <c r="E59" s="15"/>
      <c r="F59" s="15"/>
      <c r="G59" s="152"/>
      <c r="H59" s="6"/>
    </row>
    <row r="60" spans="1:8" ht="18.75" customHeight="1">
      <c r="A60" s="9" t="s">
        <v>432</v>
      </c>
      <c r="B60" s="35" t="s">
        <v>433</v>
      </c>
      <c r="C60" s="53">
        <v>247</v>
      </c>
      <c r="D60" s="15">
        <v>1878600</v>
      </c>
      <c r="E60" s="15">
        <v>550000</v>
      </c>
      <c r="F60" s="15">
        <v>704200</v>
      </c>
      <c r="G60" s="152"/>
      <c r="H60" s="6"/>
    </row>
    <row r="61" spans="1:8" ht="38.25" customHeight="1">
      <c r="A61" s="39" t="s">
        <v>130</v>
      </c>
      <c r="B61" s="38">
        <v>2650</v>
      </c>
      <c r="C61" s="40">
        <v>400</v>
      </c>
      <c r="D61" s="43"/>
      <c r="E61" s="43"/>
      <c r="F61" s="43"/>
      <c r="G61" s="43"/>
    </row>
    <row r="62" spans="1:8" ht="49.5" customHeight="1">
      <c r="A62" s="39" t="s">
        <v>131</v>
      </c>
      <c r="B62" s="38">
        <v>2651</v>
      </c>
      <c r="C62" s="40">
        <v>406</v>
      </c>
      <c r="D62" s="43"/>
      <c r="E62" s="43"/>
      <c r="F62" s="43"/>
      <c r="G62" s="40"/>
    </row>
    <row r="63" spans="1:8" ht="49.5" customHeight="1">
      <c r="A63" s="39" t="s">
        <v>132</v>
      </c>
      <c r="B63" s="38">
        <v>2652</v>
      </c>
      <c r="C63" s="40">
        <v>407</v>
      </c>
      <c r="D63" s="43"/>
      <c r="E63" s="43"/>
      <c r="F63" s="43"/>
      <c r="G63" s="40"/>
    </row>
    <row r="64" spans="1:8" ht="19.5" customHeight="1">
      <c r="A64" s="41" t="s">
        <v>133</v>
      </c>
      <c r="B64" s="38">
        <v>3000</v>
      </c>
      <c r="C64" s="42">
        <v>100</v>
      </c>
      <c r="D64" s="44"/>
      <c r="E64" s="44"/>
      <c r="F64" s="44"/>
      <c r="G64" s="42" t="s">
        <v>12</v>
      </c>
    </row>
    <row r="65" spans="1:8" ht="31.5">
      <c r="A65" s="39" t="s">
        <v>134</v>
      </c>
      <c r="B65" s="38">
        <v>3010</v>
      </c>
      <c r="C65" s="40"/>
      <c r="D65" s="40"/>
      <c r="E65" s="40"/>
      <c r="F65" s="40"/>
      <c r="G65" s="40" t="s">
        <v>12</v>
      </c>
    </row>
    <row r="66" spans="1:8" ht="20.25" customHeight="1">
      <c r="A66" s="39" t="s">
        <v>135</v>
      </c>
      <c r="B66" s="38">
        <v>3020</v>
      </c>
      <c r="C66" s="40"/>
      <c r="D66" s="40"/>
      <c r="E66" s="40"/>
      <c r="F66" s="40"/>
      <c r="G66" s="40" t="s">
        <v>12</v>
      </c>
    </row>
    <row r="67" spans="1:8" ht="17.25" customHeight="1">
      <c r="A67" s="39" t="s">
        <v>136</v>
      </c>
      <c r="B67" s="38">
        <v>3030</v>
      </c>
      <c r="C67" s="40"/>
      <c r="D67" s="40"/>
      <c r="E67" s="40"/>
      <c r="F67" s="40"/>
      <c r="G67" s="40" t="s">
        <v>12</v>
      </c>
    </row>
    <row r="68" spans="1:8" ht="19.5" customHeight="1">
      <c r="A68" s="41" t="s">
        <v>137</v>
      </c>
      <c r="B68" s="38">
        <v>4000</v>
      </c>
      <c r="C68" s="42" t="s">
        <v>12</v>
      </c>
      <c r="D68" s="44"/>
      <c r="E68" s="44"/>
      <c r="F68" s="44"/>
      <c r="G68" s="42" t="s">
        <v>12</v>
      </c>
    </row>
    <row r="69" spans="1:8" ht="35.25" customHeight="1">
      <c r="A69" s="9" t="s">
        <v>138</v>
      </c>
      <c r="B69" s="35" t="s">
        <v>139</v>
      </c>
      <c r="C69" s="47">
        <v>610</v>
      </c>
      <c r="D69" s="152"/>
      <c r="E69" s="152"/>
      <c r="F69" s="152"/>
      <c r="G69" s="152" t="s">
        <v>12</v>
      </c>
      <c r="H69" s="7"/>
    </row>
    <row r="70" spans="1:8" ht="15.75">
      <c r="A70" s="102"/>
      <c r="B70" s="37"/>
      <c r="C70" s="37"/>
      <c r="D70" s="166"/>
      <c r="E70" s="166"/>
      <c r="F70" s="166"/>
      <c r="G70" s="166"/>
    </row>
    <row r="71" spans="1:8" ht="15.75">
      <c r="A71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61"/>
  <sheetViews>
    <sheetView view="pageBreakPreview" topLeftCell="C10" zoomScale="90" zoomScaleNormal="90" zoomScaleSheetLayoutView="90" workbookViewId="0">
      <selection activeCell="G7" sqref="G7"/>
    </sheetView>
  </sheetViews>
  <sheetFormatPr defaultRowHeight="15"/>
  <cols>
    <col min="1" max="1" width="6.5703125" customWidth="1"/>
    <col min="2" max="2" width="48.28515625" customWidth="1"/>
    <col min="4" max="5" width="13.28515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>
      <c r="G1" s="10">
        <f>G14-G15-G18-G24</f>
        <v>0</v>
      </c>
    </row>
    <row r="2" spans="1:10">
      <c r="F2" t="b">
        <f>F14=F15+F18+F24</f>
        <v>1</v>
      </c>
      <c r="G2" t="b">
        <f>G14=G15+G18+G24</f>
        <v>1</v>
      </c>
      <c r="H2" t="b">
        <f t="shared" ref="H2" si="0">H14=H15+H18+H24</f>
        <v>1</v>
      </c>
    </row>
    <row r="3" spans="1:10" ht="15.75">
      <c r="B3" s="282" t="s">
        <v>140</v>
      </c>
      <c r="C3" s="282"/>
      <c r="D3" s="282"/>
      <c r="E3" s="282"/>
      <c r="F3" s="282"/>
      <c r="G3" s="282"/>
      <c r="H3" s="282"/>
      <c r="I3" s="282"/>
    </row>
    <row r="4" spans="1:10" ht="24" customHeight="1">
      <c r="A4" s="285" t="s">
        <v>141</v>
      </c>
      <c r="B4" s="285" t="s">
        <v>3</v>
      </c>
      <c r="C4" s="284" t="s">
        <v>5</v>
      </c>
      <c r="D4" s="284" t="s">
        <v>11</v>
      </c>
      <c r="E4" s="285" t="s">
        <v>6</v>
      </c>
      <c r="F4" s="287" t="s">
        <v>47</v>
      </c>
      <c r="G4" s="288"/>
      <c r="H4" s="288"/>
      <c r="I4" s="288"/>
      <c r="J4" s="17"/>
    </row>
    <row r="5" spans="1:10" ht="82.5" customHeight="1">
      <c r="A5" s="286"/>
      <c r="B5" s="286"/>
      <c r="C5" s="284"/>
      <c r="D5" s="284"/>
      <c r="E5" s="286"/>
      <c r="F5" s="269" t="s">
        <v>421</v>
      </c>
      <c r="G5" s="269" t="s">
        <v>422</v>
      </c>
      <c r="H5" s="269" t="s">
        <v>423</v>
      </c>
      <c r="I5" s="27" t="s">
        <v>48</v>
      </c>
      <c r="J5" s="17"/>
    </row>
    <row r="6" spans="1:10" ht="15.75">
      <c r="A6" s="33">
        <v>1</v>
      </c>
      <c r="B6" s="33">
        <v>2</v>
      </c>
      <c r="C6" s="33">
        <v>3</v>
      </c>
      <c r="D6" s="33">
        <v>4</v>
      </c>
      <c r="E6" s="33" t="s">
        <v>362</v>
      </c>
      <c r="F6" s="33">
        <v>5</v>
      </c>
      <c r="G6" s="33">
        <v>6</v>
      </c>
      <c r="H6" s="33">
        <v>7</v>
      </c>
      <c r="I6" s="33">
        <v>8</v>
      </c>
      <c r="J6" s="17"/>
    </row>
    <row r="7" spans="1:10" ht="31.5">
      <c r="A7" s="38">
        <v>1</v>
      </c>
      <c r="B7" s="34" t="s">
        <v>142</v>
      </c>
      <c r="C7" s="35" t="s">
        <v>143</v>
      </c>
      <c r="D7" s="8" t="s">
        <v>12</v>
      </c>
      <c r="E7" s="227"/>
      <c r="F7" s="15">
        <f>'Раздел 1'!D55</f>
        <v>4392333.68</v>
      </c>
      <c r="G7" s="15">
        <f>'Раздел 1'!E55</f>
        <v>1769207</v>
      </c>
      <c r="H7" s="15">
        <f>'Раздел 1'!F55</f>
        <v>1926207</v>
      </c>
      <c r="I7" s="61">
        <f>'Раздел 1'!G58</f>
        <v>0</v>
      </c>
      <c r="J7" s="17"/>
    </row>
    <row r="8" spans="1:10" ht="189" customHeight="1">
      <c r="A8" s="38" t="s">
        <v>27</v>
      </c>
      <c r="B8" s="34" t="s">
        <v>144</v>
      </c>
      <c r="C8" s="35" t="s">
        <v>145</v>
      </c>
      <c r="D8" s="8" t="s">
        <v>12</v>
      </c>
      <c r="E8" s="227"/>
      <c r="F8" s="33"/>
      <c r="G8" s="33"/>
      <c r="H8" s="33"/>
      <c r="I8" s="33"/>
      <c r="J8" s="17"/>
    </row>
    <row r="9" spans="1:10" ht="70.5" customHeight="1">
      <c r="A9" s="38" t="s">
        <v>28</v>
      </c>
      <c r="B9" s="31" t="s">
        <v>146</v>
      </c>
      <c r="C9" s="35" t="s">
        <v>147</v>
      </c>
      <c r="D9" s="8" t="s">
        <v>12</v>
      </c>
      <c r="E9" s="227"/>
      <c r="F9" s="15"/>
      <c r="G9" s="15"/>
      <c r="H9" s="15"/>
      <c r="I9" s="15"/>
      <c r="J9" s="7"/>
    </row>
    <row r="10" spans="1:10" ht="69.75" customHeight="1">
      <c r="A10" s="38" t="s">
        <v>29</v>
      </c>
      <c r="B10" s="31" t="s">
        <v>148</v>
      </c>
      <c r="C10" s="36" t="s">
        <v>149</v>
      </c>
      <c r="D10" s="30" t="s">
        <v>12</v>
      </c>
      <c r="E10" s="241"/>
      <c r="F10" s="28">
        <v>0</v>
      </c>
      <c r="G10" s="28">
        <v>0</v>
      </c>
      <c r="H10" s="28">
        <v>0</v>
      </c>
      <c r="I10" s="28"/>
      <c r="J10" s="6"/>
    </row>
    <row r="11" spans="1:10" ht="38.25" customHeight="1">
      <c r="A11" s="38" t="s">
        <v>363</v>
      </c>
      <c r="B11" s="31" t="s">
        <v>364</v>
      </c>
      <c r="C11" s="36" t="s">
        <v>365</v>
      </c>
      <c r="D11" s="30" t="s">
        <v>12</v>
      </c>
      <c r="E11" s="241" t="s">
        <v>12</v>
      </c>
      <c r="F11" s="28"/>
      <c r="G11" s="28"/>
      <c r="H11" s="28"/>
      <c r="I11" s="28"/>
      <c r="J11" s="6"/>
    </row>
    <row r="12" spans="1:10" ht="32.25" customHeight="1">
      <c r="A12" s="38"/>
      <c r="B12" s="117" t="s">
        <v>368</v>
      </c>
      <c r="C12" s="16" t="s">
        <v>369</v>
      </c>
      <c r="D12" s="37"/>
      <c r="E12" s="37"/>
      <c r="F12" s="28"/>
      <c r="G12" s="28"/>
      <c r="H12" s="28"/>
      <c r="I12" s="28"/>
      <c r="J12" s="6"/>
    </row>
    <row r="13" spans="1:10" ht="19.5" customHeight="1">
      <c r="A13" s="38"/>
      <c r="B13" s="243" t="s">
        <v>366</v>
      </c>
      <c r="C13" s="36" t="s">
        <v>367</v>
      </c>
      <c r="D13" s="30" t="s">
        <v>12</v>
      </c>
      <c r="E13" s="241" t="s">
        <v>12</v>
      </c>
      <c r="F13" s="28"/>
      <c r="G13" s="28"/>
      <c r="H13" s="28"/>
      <c r="I13" s="28"/>
      <c r="J13" s="6"/>
    </row>
    <row r="14" spans="1:10" ht="66" customHeight="1">
      <c r="A14" s="38" t="s">
        <v>150</v>
      </c>
      <c r="B14" s="31" t="s">
        <v>151</v>
      </c>
      <c r="C14" s="36" t="s">
        <v>152</v>
      </c>
      <c r="D14" s="30" t="s">
        <v>12</v>
      </c>
      <c r="E14" s="241"/>
      <c r="F14" s="28">
        <f>F15+F18+F24</f>
        <v>4392333.68</v>
      </c>
      <c r="G14" s="28">
        <f t="shared" ref="G14:H14" si="1">G15+G18+G24</f>
        <v>1769207</v>
      </c>
      <c r="H14" s="28">
        <f t="shared" si="1"/>
        <v>1926207</v>
      </c>
      <c r="I14" s="27"/>
      <c r="J14" s="6"/>
    </row>
    <row r="15" spans="1:10" ht="51.75" customHeight="1">
      <c r="A15" s="38" t="s">
        <v>153</v>
      </c>
      <c r="B15" s="31" t="s">
        <v>154</v>
      </c>
      <c r="C15" s="35" t="s">
        <v>155</v>
      </c>
      <c r="D15" s="8" t="s">
        <v>12</v>
      </c>
      <c r="E15" s="227"/>
      <c r="F15" s="15">
        <v>2420694</v>
      </c>
      <c r="G15" s="15">
        <v>739034</v>
      </c>
      <c r="H15" s="15">
        <v>896034</v>
      </c>
      <c r="I15" s="15"/>
      <c r="J15" s="7"/>
    </row>
    <row r="16" spans="1:10" ht="35.25" customHeight="1">
      <c r="A16" s="38" t="s">
        <v>156</v>
      </c>
      <c r="B16" s="31" t="s">
        <v>157</v>
      </c>
      <c r="C16" s="35" t="s">
        <v>158</v>
      </c>
      <c r="D16" s="8" t="s">
        <v>12</v>
      </c>
      <c r="E16" s="227"/>
      <c r="F16" s="8"/>
      <c r="G16" s="8"/>
      <c r="H16" s="8"/>
      <c r="I16" s="8"/>
      <c r="J16" s="7"/>
    </row>
    <row r="17" spans="1:10" ht="21" customHeight="1">
      <c r="A17" s="38" t="s">
        <v>159</v>
      </c>
      <c r="B17" s="31" t="s">
        <v>160</v>
      </c>
      <c r="C17" s="35" t="s">
        <v>161</v>
      </c>
      <c r="D17" s="8" t="s">
        <v>12</v>
      </c>
      <c r="E17" s="227"/>
      <c r="F17" s="15"/>
      <c r="G17" s="15"/>
      <c r="H17" s="15"/>
      <c r="I17" s="15"/>
      <c r="J17" s="6"/>
    </row>
    <row r="18" spans="1:10" ht="54.75" customHeight="1">
      <c r="A18" s="38" t="s">
        <v>162</v>
      </c>
      <c r="B18" s="31" t="s">
        <v>163</v>
      </c>
      <c r="C18" s="36" t="s">
        <v>164</v>
      </c>
      <c r="D18" s="30" t="s">
        <v>12</v>
      </c>
      <c r="E18" s="241"/>
      <c r="F18" s="28">
        <v>990326</v>
      </c>
      <c r="G18" s="28">
        <v>98873</v>
      </c>
      <c r="H18" s="28">
        <v>98873</v>
      </c>
      <c r="I18" s="27"/>
      <c r="J18" s="6"/>
    </row>
    <row r="19" spans="1:10" ht="33.75" customHeight="1">
      <c r="A19" s="38" t="s">
        <v>165</v>
      </c>
      <c r="B19" s="31" t="s">
        <v>157</v>
      </c>
      <c r="C19" s="35" t="s">
        <v>166</v>
      </c>
      <c r="D19" s="8" t="s">
        <v>12</v>
      </c>
      <c r="E19" s="227"/>
      <c r="F19" s="15"/>
      <c r="G19" s="15"/>
      <c r="H19" s="15"/>
      <c r="I19" s="15"/>
      <c r="J19" s="6"/>
    </row>
    <row r="20" spans="1:10" ht="33.75" customHeight="1">
      <c r="A20" s="38"/>
      <c r="B20" s="31" t="s">
        <v>368</v>
      </c>
      <c r="C20" s="35" t="s">
        <v>370</v>
      </c>
      <c r="D20" s="227" t="s">
        <v>12</v>
      </c>
      <c r="E20" s="227"/>
      <c r="F20" s="15"/>
      <c r="G20" s="15"/>
      <c r="H20" s="15"/>
      <c r="I20" s="15"/>
      <c r="J20" s="6"/>
    </row>
    <row r="21" spans="1:10" ht="21" customHeight="1">
      <c r="A21" s="38" t="s">
        <v>167</v>
      </c>
      <c r="B21" s="31" t="s">
        <v>168</v>
      </c>
      <c r="C21" s="35" t="s">
        <v>169</v>
      </c>
      <c r="D21" s="8" t="s">
        <v>12</v>
      </c>
      <c r="E21" s="227"/>
      <c r="F21" s="8"/>
      <c r="G21" s="8"/>
      <c r="H21" s="8"/>
      <c r="I21" s="8"/>
      <c r="J21" s="6"/>
    </row>
    <row r="22" spans="1:10" ht="36" customHeight="1">
      <c r="A22" s="38" t="s">
        <v>170</v>
      </c>
      <c r="B22" s="31" t="s">
        <v>171</v>
      </c>
      <c r="C22" s="35" t="s">
        <v>172</v>
      </c>
      <c r="D22" s="8" t="s">
        <v>12</v>
      </c>
      <c r="E22" s="227"/>
      <c r="F22" s="8"/>
      <c r="G22" s="8"/>
      <c r="H22" s="8"/>
      <c r="I22" s="8"/>
      <c r="J22" s="6"/>
    </row>
    <row r="23" spans="1:10" ht="35.25" customHeight="1">
      <c r="A23" s="38"/>
      <c r="B23" s="31" t="s">
        <v>368</v>
      </c>
      <c r="C23" s="35" t="s">
        <v>371</v>
      </c>
      <c r="D23" s="227" t="s">
        <v>12</v>
      </c>
      <c r="E23" s="227"/>
      <c r="F23" s="227"/>
      <c r="G23" s="227"/>
      <c r="H23" s="227"/>
      <c r="I23" s="227"/>
      <c r="J23" s="6"/>
    </row>
    <row r="24" spans="1:10" ht="32.25" customHeight="1">
      <c r="A24" s="38" t="s">
        <v>173</v>
      </c>
      <c r="B24" s="31" t="s">
        <v>174</v>
      </c>
      <c r="C24" s="35" t="s">
        <v>175</v>
      </c>
      <c r="D24" s="8" t="s">
        <v>12</v>
      </c>
      <c r="E24" s="227"/>
      <c r="F24" s="15">
        <v>981313.68</v>
      </c>
      <c r="G24" s="15">
        <v>931300</v>
      </c>
      <c r="H24" s="15">
        <v>931300</v>
      </c>
      <c r="I24" s="15"/>
      <c r="J24" s="7"/>
    </row>
    <row r="25" spans="1:10" ht="30.75" customHeight="1">
      <c r="A25" s="38" t="s">
        <v>176</v>
      </c>
      <c r="B25" s="31" t="s">
        <v>157</v>
      </c>
      <c r="C25" s="36" t="s">
        <v>177</v>
      </c>
      <c r="D25" s="30" t="s">
        <v>12</v>
      </c>
      <c r="E25" s="241"/>
      <c r="F25" s="27"/>
      <c r="G25" s="27"/>
      <c r="H25" s="27"/>
      <c r="I25" s="27"/>
      <c r="J25" s="6"/>
    </row>
    <row r="26" spans="1:10" ht="30.75" customHeight="1">
      <c r="A26" s="38"/>
      <c r="B26" s="31" t="s">
        <v>368</v>
      </c>
      <c r="C26" s="36" t="s">
        <v>372</v>
      </c>
      <c r="D26" s="30" t="s">
        <v>12</v>
      </c>
      <c r="E26" s="241"/>
      <c r="F26" s="228"/>
      <c r="G26" s="228"/>
      <c r="H26" s="228"/>
      <c r="I26" s="228"/>
      <c r="J26" s="6"/>
    </row>
    <row r="27" spans="1:10" ht="19.5" customHeight="1">
      <c r="A27" s="38" t="s">
        <v>178</v>
      </c>
      <c r="B27" s="31" t="s">
        <v>160</v>
      </c>
      <c r="C27" s="35" t="s">
        <v>179</v>
      </c>
      <c r="D27" s="8" t="s">
        <v>12</v>
      </c>
      <c r="E27" s="227"/>
      <c r="F27" s="15"/>
      <c r="G27" s="15"/>
      <c r="H27" s="15"/>
      <c r="I27" s="15"/>
      <c r="J27" s="6"/>
    </row>
    <row r="28" spans="1:10" ht="69" customHeight="1">
      <c r="A28" s="38" t="s">
        <v>180</v>
      </c>
      <c r="B28" s="31" t="s">
        <v>181</v>
      </c>
      <c r="C28" s="36" t="s">
        <v>182</v>
      </c>
      <c r="D28" s="30" t="s">
        <v>12</v>
      </c>
      <c r="E28" s="241"/>
      <c r="F28" s="28">
        <f>F7</f>
        <v>4392333.68</v>
      </c>
      <c r="G28" s="28">
        <f t="shared" ref="G28:H28" si="2">G7</f>
        <v>1769207</v>
      </c>
      <c r="H28" s="28">
        <f t="shared" si="2"/>
        <v>1926207</v>
      </c>
      <c r="I28" s="27"/>
      <c r="J28" s="6"/>
    </row>
    <row r="29" spans="1:10" ht="18.75" customHeight="1">
      <c r="A29" s="38"/>
      <c r="B29" s="27" t="s">
        <v>183</v>
      </c>
      <c r="C29" s="36" t="s">
        <v>184</v>
      </c>
      <c r="D29" s="30"/>
      <c r="E29" s="241"/>
      <c r="F29" s="27"/>
      <c r="G29" s="27"/>
      <c r="H29" s="27"/>
      <c r="I29" s="27"/>
      <c r="J29" s="6"/>
    </row>
    <row r="30" spans="1:10" ht="72" customHeight="1">
      <c r="A30" s="38" t="s">
        <v>185</v>
      </c>
      <c r="B30" s="31" t="s">
        <v>186</v>
      </c>
      <c r="C30" s="36" t="s">
        <v>187</v>
      </c>
      <c r="D30" s="30" t="s">
        <v>12</v>
      </c>
      <c r="E30" s="241"/>
      <c r="F30" s="28">
        <v>0</v>
      </c>
      <c r="G30" s="28">
        <v>0</v>
      </c>
      <c r="H30" s="28">
        <v>0</v>
      </c>
      <c r="I30" s="28"/>
      <c r="J30" s="6"/>
    </row>
    <row r="31" spans="1:10" ht="20.25" customHeight="1">
      <c r="A31" s="38"/>
      <c r="B31" s="27" t="s">
        <v>183</v>
      </c>
      <c r="C31" s="36" t="s">
        <v>188</v>
      </c>
      <c r="D31" s="30"/>
      <c r="E31" s="241"/>
      <c r="F31" s="27"/>
      <c r="G31" s="27"/>
      <c r="H31" s="27"/>
      <c r="I31" s="8"/>
      <c r="J31" s="6"/>
    </row>
    <row r="32" spans="1:10" ht="15.75">
      <c r="A32" s="2"/>
      <c r="B32" s="5"/>
      <c r="C32" s="2"/>
      <c r="D32" s="2"/>
      <c r="E32" s="2"/>
      <c r="F32" s="2"/>
      <c r="G32" s="2"/>
      <c r="H32" s="2"/>
      <c r="I32" s="2"/>
    </row>
    <row r="33" spans="1:9" ht="15.75">
      <c r="A33" s="2"/>
      <c r="B33" s="5"/>
      <c r="C33" s="2"/>
      <c r="D33" s="2"/>
      <c r="E33" s="2"/>
      <c r="F33" s="2"/>
      <c r="G33" s="2"/>
      <c r="H33" s="2"/>
      <c r="I33" s="2"/>
    </row>
    <row r="34" spans="1:9" ht="15.75">
      <c r="A34" s="2"/>
      <c r="B34" s="2" t="s">
        <v>189</v>
      </c>
      <c r="C34" s="290" t="s">
        <v>347</v>
      </c>
      <c r="D34" s="290"/>
      <c r="E34" s="242"/>
      <c r="F34" s="2"/>
      <c r="G34" s="2"/>
      <c r="H34" s="2"/>
      <c r="I34" s="2"/>
    </row>
    <row r="35" spans="1:9" ht="12.75" customHeight="1">
      <c r="A35" s="2"/>
      <c r="B35" s="289" t="s">
        <v>190</v>
      </c>
      <c r="C35" s="289"/>
      <c r="D35" s="289"/>
      <c r="E35" s="229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 t="s">
        <v>353</v>
      </c>
      <c r="D37" s="205" t="s">
        <v>416</v>
      </c>
      <c r="E37" s="205"/>
      <c r="F37" s="205"/>
      <c r="G37" s="175"/>
      <c r="H37" s="2"/>
      <c r="I37" s="2"/>
    </row>
    <row r="38" spans="1:9" ht="15.75" customHeight="1">
      <c r="A38" s="2"/>
      <c r="B38" s="291" t="s">
        <v>350</v>
      </c>
      <c r="C38" s="291"/>
      <c r="D38" s="291"/>
      <c r="E38" s="291"/>
      <c r="F38" s="291"/>
      <c r="G38" s="291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 t="s">
        <v>424</v>
      </c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92" t="s">
        <v>191</v>
      </c>
      <c r="C42" s="292"/>
      <c r="D42" s="292"/>
      <c r="E42" s="292"/>
      <c r="F42" s="292"/>
      <c r="G42" s="2"/>
      <c r="H42" s="2"/>
      <c r="I42" s="2"/>
    </row>
    <row r="43" spans="1:9" ht="15.75">
      <c r="A43" s="2"/>
      <c r="B43" s="292" t="s">
        <v>414</v>
      </c>
      <c r="C43" s="292"/>
      <c r="D43" s="292"/>
      <c r="E43" s="292"/>
      <c r="F43" s="292"/>
      <c r="G43" s="2"/>
      <c r="H43" s="2"/>
      <c r="I43" s="2"/>
    </row>
    <row r="44" spans="1:9" ht="15.75">
      <c r="A44" s="2"/>
      <c r="B44" s="293" t="s">
        <v>192</v>
      </c>
      <c r="C44" s="293"/>
      <c r="D44" s="293"/>
      <c r="E44" s="293"/>
      <c r="F44" s="293"/>
      <c r="G44" s="2"/>
      <c r="H44" s="2"/>
      <c r="I44" s="2"/>
    </row>
    <row r="45" spans="1:9" ht="15.75">
      <c r="A45" s="2"/>
      <c r="B45" s="294" t="s">
        <v>415</v>
      </c>
      <c r="C45" s="294"/>
      <c r="D45" s="294"/>
      <c r="E45" s="294"/>
      <c r="F45" s="294"/>
      <c r="G45" s="2"/>
      <c r="H45" s="2"/>
      <c r="I45" s="2"/>
    </row>
    <row r="46" spans="1:9" ht="15.75">
      <c r="A46" s="2"/>
      <c r="B46" s="295" t="s">
        <v>193</v>
      </c>
      <c r="C46" s="295"/>
      <c r="D46" s="295"/>
      <c r="E46" s="295"/>
      <c r="F46" s="295"/>
      <c r="G46" s="2"/>
      <c r="H46" s="2"/>
      <c r="I46" s="2"/>
    </row>
    <row r="47" spans="1:9" ht="15.75">
      <c r="A47" s="2"/>
      <c r="B47" s="292" t="s">
        <v>425</v>
      </c>
      <c r="C47" s="292"/>
      <c r="D47" s="292"/>
      <c r="E47" s="292"/>
      <c r="F47" s="29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>
      <c r="A50" s="46"/>
      <c r="B50" s="46"/>
      <c r="C50" s="46"/>
      <c r="D50" s="46"/>
      <c r="E50" s="46"/>
      <c r="F50" s="46"/>
      <c r="G50" s="46"/>
      <c r="H50" s="46"/>
      <c r="I50" s="46"/>
    </row>
    <row r="51" spans="1:9">
      <c r="A51" s="46"/>
      <c r="B51" s="46"/>
      <c r="C51" s="46"/>
      <c r="D51" s="46"/>
      <c r="E51" s="46"/>
      <c r="F51" s="46"/>
      <c r="G51" s="46"/>
      <c r="H51" s="46"/>
      <c r="I51" s="46"/>
    </row>
    <row r="52" spans="1:9">
      <c r="A52" s="46"/>
      <c r="B52" s="46"/>
      <c r="C52" s="46"/>
      <c r="D52" s="46"/>
      <c r="E52" s="46"/>
      <c r="F52" s="46"/>
      <c r="G52" s="46"/>
      <c r="H52" s="46"/>
      <c r="I52" s="46"/>
    </row>
    <row r="53" spans="1:9">
      <c r="A53" s="46"/>
      <c r="B53" s="46"/>
      <c r="C53" s="46"/>
      <c r="D53" s="46"/>
      <c r="E53" s="46"/>
      <c r="F53" s="46"/>
      <c r="G53" s="46"/>
      <c r="H53" s="46"/>
      <c r="I53" s="46"/>
    </row>
    <row r="54" spans="1:9">
      <c r="A54" s="46"/>
      <c r="B54" s="46"/>
      <c r="C54" s="46"/>
      <c r="D54" s="46"/>
      <c r="E54" s="46"/>
      <c r="F54" s="46"/>
      <c r="G54" s="46"/>
      <c r="H54" s="46"/>
      <c r="I54" s="46"/>
    </row>
    <row r="55" spans="1:9">
      <c r="A55" s="46"/>
      <c r="B55" s="46"/>
      <c r="C55" s="46"/>
      <c r="D55" s="46"/>
      <c r="E55" s="46"/>
      <c r="F55" s="46"/>
      <c r="G55" s="46"/>
      <c r="H55" s="46"/>
      <c r="I55" s="46"/>
    </row>
    <row r="56" spans="1:9">
      <c r="A56" s="46"/>
      <c r="B56" s="46"/>
      <c r="C56" s="46"/>
      <c r="D56" s="46"/>
      <c r="E56" s="46"/>
      <c r="F56" s="46"/>
      <c r="G56" s="46"/>
      <c r="H56" s="46"/>
      <c r="I56" s="46"/>
    </row>
    <row r="57" spans="1:9">
      <c r="A57" s="46"/>
      <c r="B57" s="46"/>
      <c r="C57" s="46"/>
      <c r="D57" s="46"/>
      <c r="E57" s="46"/>
      <c r="F57" s="46"/>
      <c r="G57" s="46"/>
      <c r="H57" s="46"/>
      <c r="I57" s="46"/>
    </row>
    <row r="58" spans="1:9">
      <c r="A58" s="46"/>
      <c r="B58" s="46"/>
      <c r="C58" s="46"/>
      <c r="D58" s="46"/>
      <c r="E58" s="46"/>
      <c r="F58" s="46"/>
      <c r="G58" s="46"/>
      <c r="H58" s="46"/>
      <c r="I58" s="46"/>
    </row>
    <row r="59" spans="1:9">
      <c r="A59" s="46"/>
      <c r="B59" s="46"/>
      <c r="C59" s="46"/>
      <c r="D59" s="46"/>
      <c r="E59" s="46"/>
      <c r="F59" s="46"/>
      <c r="G59" s="46"/>
      <c r="H59" s="46"/>
      <c r="I59" s="46"/>
    </row>
    <row r="60" spans="1:9">
      <c r="A60" s="46"/>
      <c r="B60" s="46"/>
      <c r="C60" s="46"/>
      <c r="D60" s="46"/>
      <c r="E60" s="46"/>
      <c r="F60" s="46"/>
      <c r="G60" s="46"/>
      <c r="H60" s="46"/>
      <c r="I60" s="46"/>
    </row>
    <row r="61" spans="1:9">
      <c r="A61" s="46"/>
      <c r="B61" s="46"/>
      <c r="C61" s="46"/>
      <c r="D61" s="46"/>
      <c r="E61" s="46"/>
      <c r="F61" s="46"/>
      <c r="G61" s="46"/>
      <c r="H61" s="46"/>
      <c r="I61" s="46"/>
    </row>
  </sheetData>
  <mergeCells count="16">
    <mergeCell ref="B3:I3"/>
    <mergeCell ref="B35:D35"/>
    <mergeCell ref="C34:D34"/>
    <mergeCell ref="B38:G38"/>
    <mergeCell ref="B47:F47"/>
    <mergeCell ref="B42:F42"/>
    <mergeCell ref="B43:F43"/>
    <mergeCell ref="B44:F44"/>
    <mergeCell ref="B45:F45"/>
    <mergeCell ref="B46:F46"/>
    <mergeCell ref="A4:A5"/>
    <mergeCell ref="B4:B5"/>
    <mergeCell ref="C4:C5"/>
    <mergeCell ref="D4:D5"/>
    <mergeCell ref="F4:I4"/>
    <mergeCell ref="E4:E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V399761"/>
  <sheetViews>
    <sheetView tabSelected="1" view="pageBreakPreview" topLeftCell="A140" zoomScale="70" zoomScaleNormal="70" zoomScaleSheetLayoutView="70" workbookViewId="0">
      <selection activeCell="D153" sqref="D153:E153"/>
    </sheetView>
  </sheetViews>
  <sheetFormatPr defaultRowHeight="15" outlineLevelRow="1"/>
  <cols>
    <col min="1" max="1" width="3.85546875" customWidth="1"/>
    <col min="2" max="3" width="9.28515625" bestFit="1" customWidth="1"/>
    <col min="4" max="4" width="29.42578125" customWidth="1"/>
    <col min="5" max="5" width="11.85546875" customWidth="1"/>
    <col min="6" max="6" width="14.140625" customWidth="1"/>
    <col min="7" max="7" width="15.85546875" customWidth="1"/>
    <col min="8" max="8" width="16.42578125" style="183" customWidth="1"/>
    <col min="9" max="9" width="16.42578125" customWidth="1"/>
    <col min="10" max="10" width="11.42578125" customWidth="1"/>
    <col min="11" max="11" width="14" style="64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8" width="12.85546875" customWidth="1"/>
    <col min="19" max="19" width="18.140625" customWidth="1"/>
    <col min="20" max="20" width="13" customWidth="1"/>
    <col min="21" max="21" width="13.85546875" customWidth="1"/>
    <col min="22" max="22" width="13.5703125" customWidth="1"/>
  </cols>
  <sheetData>
    <row r="1" spans="2:22" ht="15" customHeight="1"/>
    <row r="2" spans="2:22" ht="15" customHeight="1"/>
    <row r="3" spans="2:22" ht="71.25" customHeight="1">
      <c r="B3" s="2"/>
      <c r="C3" s="312" t="s">
        <v>426</v>
      </c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</row>
    <row r="4" spans="2:22" ht="15.75">
      <c r="B4" s="2"/>
      <c r="C4" s="2"/>
      <c r="D4" s="2"/>
      <c r="E4" s="51"/>
      <c r="F4" s="51"/>
      <c r="G4" s="51"/>
      <c r="H4" s="184"/>
      <c r="I4" s="51"/>
      <c r="J4" s="51"/>
      <c r="K4" s="65"/>
      <c r="L4" s="51"/>
      <c r="M4" s="51"/>
    </row>
    <row r="5" spans="2:22" ht="15.75" customHeight="1">
      <c r="B5" s="2"/>
      <c r="C5" s="313" t="s">
        <v>268</v>
      </c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</row>
    <row r="6" spans="2:22" ht="15.75">
      <c r="B6" s="2"/>
      <c r="C6" s="2"/>
      <c r="D6" s="2"/>
      <c r="E6" s="51"/>
      <c r="F6" s="51"/>
      <c r="G6" s="51"/>
      <c r="H6" s="184"/>
      <c r="I6" s="51"/>
      <c r="J6" s="51"/>
      <c r="K6" s="65"/>
      <c r="L6" s="51"/>
      <c r="M6" s="51"/>
    </row>
    <row r="7" spans="2:22" ht="15.75" customHeight="1">
      <c r="B7" s="2"/>
      <c r="C7" s="313" t="s">
        <v>254</v>
      </c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</row>
    <row r="8" spans="2:22" ht="15.75">
      <c r="B8" s="2"/>
      <c r="C8" s="2"/>
      <c r="D8" s="2"/>
      <c r="E8" s="2"/>
      <c r="F8" s="2"/>
      <c r="G8" s="2"/>
      <c r="H8" s="185"/>
      <c r="I8" s="2"/>
      <c r="J8" s="2"/>
      <c r="K8" s="63"/>
      <c r="L8" s="2"/>
      <c r="M8" s="2"/>
    </row>
    <row r="9" spans="2:22" ht="63" customHeight="1">
      <c r="B9" s="309" t="s">
        <v>194</v>
      </c>
      <c r="C9" s="314" t="s">
        <v>2</v>
      </c>
      <c r="D9" s="309" t="s">
        <v>206</v>
      </c>
      <c r="E9" s="309" t="s">
        <v>335</v>
      </c>
      <c r="F9" s="309" t="s">
        <v>18</v>
      </c>
      <c r="G9" s="309"/>
      <c r="H9" s="309"/>
      <c r="I9" s="309"/>
      <c r="J9" s="314" t="s">
        <v>19</v>
      </c>
      <c r="K9" s="147" t="s">
        <v>195</v>
      </c>
      <c r="L9" s="309" t="s">
        <v>196</v>
      </c>
      <c r="M9" s="309"/>
      <c r="N9" s="309"/>
      <c r="O9" s="309"/>
      <c r="P9" s="309"/>
    </row>
    <row r="10" spans="2:22" ht="94.5" customHeight="1">
      <c r="B10" s="309"/>
      <c r="C10" s="315"/>
      <c r="D10" s="309"/>
      <c r="E10" s="309"/>
      <c r="F10" s="309" t="s">
        <v>7</v>
      </c>
      <c r="G10" s="309" t="s">
        <v>4</v>
      </c>
      <c r="H10" s="309"/>
      <c r="I10" s="309"/>
      <c r="J10" s="315"/>
      <c r="K10" s="317" t="s">
        <v>250</v>
      </c>
      <c r="L10" s="309" t="s">
        <v>197</v>
      </c>
      <c r="M10" s="319" t="s">
        <v>198</v>
      </c>
      <c r="N10" s="309" t="s">
        <v>199</v>
      </c>
      <c r="O10" s="309" t="s">
        <v>200</v>
      </c>
      <c r="P10" s="309"/>
      <c r="T10" t="s">
        <v>395</v>
      </c>
      <c r="U10">
        <v>759000</v>
      </c>
    </row>
    <row r="11" spans="2:22" ht="87.75" customHeight="1">
      <c r="B11" s="309"/>
      <c r="C11" s="316"/>
      <c r="D11" s="309"/>
      <c r="E11" s="309"/>
      <c r="F11" s="309"/>
      <c r="G11" s="133" t="s">
        <v>20</v>
      </c>
      <c r="H11" s="186" t="s">
        <v>21</v>
      </c>
      <c r="I11" s="133" t="s">
        <v>22</v>
      </c>
      <c r="J11" s="316"/>
      <c r="K11" s="318"/>
      <c r="L11" s="309"/>
      <c r="M11" s="319"/>
      <c r="N11" s="309"/>
      <c r="O11" s="133" t="s">
        <v>14</v>
      </c>
      <c r="P11" s="133" t="s">
        <v>201</v>
      </c>
      <c r="Q11" s="49"/>
      <c r="R11" s="49"/>
      <c r="S11" s="49"/>
      <c r="T11" s="109" t="s">
        <v>336</v>
      </c>
      <c r="U11" s="181">
        <v>6454178</v>
      </c>
    </row>
    <row r="12" spans="2:22" ht="15.75">
      <c r="B12" s="133">
        <v>1</v>
      </c>
      <c r="C12" s="133">
        <v>2</v>
      </c>
      <c r="D12" s="133">
        <v>3</v>
      </c>
      <c r="E12" s="133">
        <v>4</v>
      </c>
      <c r="F12" s="133">
        <v>5</v>
      </c>
      <c r="G12" s="133">
        <v>6</v>
      </c>
      <c r="H12" s="186">
        <v>7</v>
      </c>
      <c r="I12" s="133">
        <v>8</v>
      </c>
      <c r="J12" s="133">
        <v>9</v>
      </c>
      <c r="K12" s="147">
        <v>10</v>
      </c>
      <c r="L12" s="133">
        <v>11</v>
      </c>
      <c r="M12" s="133">
        <v>12</v>
      </c>
      <c r="N12" s="133">
        <v>13</v>
      </c>
      <c r="O12" s="133">
        <v>14</v>
      </c>
      <c r="P12" s="133">
        <v>15</v>
      </c>
      <c r="Q12" s="49"/>
      <c r="R12" s="49"/>
      <c r="S12" s="49"/>
      <c r="T12" s="109" t="s">
        <v>337</v>
      </c>
      <c r="U12" s="181">
        <v>2504224</v>
      </c>
    </row>
    <row r="13" spans="2:22" s="64" customFormat="1" ht="31.5" customHeight="1">
      <c r="B13" s="95">
        <v>111</v>
      </c>
      <c r="C13" s="95" t="s">
        <v>202</v>
      </c>
      <c r="D13" s="91" t="s">
        <v>333</v>
      </c>
      <c r="E13" s="95">
        <v>22.25</v>
      </c>
      <c r="F13" s="94">
        <f>G13+H13+I13</f>
        <v>20827.783483146071</v>
      </c>
      <c r="G13" s="94">
        <f>188649.98/E13</f>
        <v>8478.6507865168551</v>
      </c>
      <c r="H13" s="94">
        <f>(46091.4+7867.29+9432.51)/E13</f>
        <v>2849.0426966292139</v>
      </c>
      <c r="I13" s="95">
        <f>(13619.72+19935)-24053.87-0.76</f>
        <v>9500.090000000002</v>
      </c>
      <c r="J13" s="94">
        <f xml:space="preserve"> ROUND((F13*15%),2)</f>
        <v>3124.17</v>
      </c>
      <c r="K13" s="94">
        <f>ROUND(((F13+J13)*12*E13),2)-0.06</f>
        <v>6395171.5200000005</v>
      </c>
      <c r="L13" s="94">
        <f>K13-O13-M13</f>
        <v>5631071.5200000005</v>
      </c>
      <c r="M13" s="94">
        <f>U10</f>
        <v>759000</v>
      </c>
      <c r="N13" s="94" t="s">
        <v>244</v>
      </c>
      <c r="O13" s="274">
        <f>U15</f>
        <v>5100</v>
      </c>
      <c r="P13" s="94" t="s">
        <v>244</v>
      </c>
      <c r="Q13" s="98">
        <f>U16-Q15-Q16-Q14</f>
        <v>6395171.5199999996</v>
      </c>
      <c r="R13" s="98">
        <f t="shared" ref="R13:R15" si="0">S13/1.15/12/E13</f>
        <v>0</v>
      </c>
      <c r="S13" s="167">
        <f>Q13-K13</f>
        <v>0</v>
      </c>
      <c r="T13" s="168" t="s">
        <v>338</v>
      </c>
      <c r="U13" s="180">
        <v>1480850</v>
      </c>
    </row>
    <row r="14" spans="2:22" s="64" customFormat="1" ht="31.5" customHeight="1">
      <c r="B14" s="272">
        <v>111</v>
      </c>
      <c r="C14" s="95" t="s">
        <v>180</v>
      </c>
      <c r="D14" s="91" t="s">
        <v>334</v>
      </c>
      <c r="E14" s="95">
        <f>3.6</f>
        <v>3.6</v>
      </c>
      <c r="F14" s="94">
        <f>G14+H14+I14</f>
        <v>25584</v>
      </c>
      <c r="G14" s="94">
        <f>36000/E14</f>
        <v>10000</v>
      </c>
      <c r="H14" s="274">
        <f>(1800+3271.2+3671.2+1800)</f>
        <v>10542.4</v>
      </c>
      <c r="I14" s="275">
        <f>(1380+3600+1480+3100)-4518.4</f>
        <v>5041.6000000000004</v>
      </c>
      <c r="J14" s="94">
        <f xml:space="preserve"> ROUND((F14*15%),2)</f>
        <v>3837.6</v>
      </c>
      <c r="K14" s="94">
        <f>ROUND(((F14+J14)*12*E14),2)</f>
        <v>1271013.1200000001</v>
      </c>
      <c r="L14" s="94">
        <f>K14-O14</f>
        <v>1271013.1200000001</v>
      </c>
      <c r="M14" s="94" t="s">
        <v>244</v>
      </c>
      <c r="N14" s="94" t="s">
        <v>244</v>
      </c>
      <c r="O14" s="95">
        <v>0</v>
      </c>
      <c r="P14" s="94" t="s">
        <v>244</v>
      </c>
      <c r="Q14" s="98">
        <f>(52958.88+52958.88)*12</f>
        <v>1271013.1199999999</v>
      </c>
      <c r="R14" s="98">
        <f t="shared" si="0"/>
        <v>0</v>
      </c>
      <c r="S14" s="167">
        <f>Q14-K14</f>
        <v>0</v>
      </c>
      <c r="T14" s="168" t="s">
        <v>339</v>
      </c>
      <c r="U14" s="180">
        <v>2821090</v>
      </c>
    </row>
    <row r="15" spans="2:22" s="64" customFormat="1" ht="21.75" customHeight="1">
      <c r="B15" s="272">
        <v>111</v>
      </c>
      <c r="C15" s="95" t="s">
        <v>185</v>
      </c>
      <c r="D15" s="91" t="s">
        <v>203</v>
      </c>
      <c r="E15" s="95">
        <f>7.5+6.79+10.99+1.61+1.61</f>
        <v>28.5</v>
      </c>
      <c r="F15" s="94">
        <f t="shared" ref="F15:F16" si="1">G15+H15+I15</f>
        <v>12941.023684210526</v>
      </c>
      <c r="G15" s="94">
        <f>(8800+52605.69+53600+86360+12880+12880)/E15</f>
        <v>7969.3224561403513</v>
      </c>
      <c r="H15" s="275">
        <f>(3552+34789.6+27948.96+41645.76+7715.12+7715.12)/E15+1817.4+1817.4-3871.75</f>
        <v>4091.7012280701747</v>
      </c>
      <c r="I15" s="95">
        <f>440+220+220</f>
        <v>880</v>
      </c>
      <c r="J15" s="94">
        <f xml:space="preserve"> ROUND((F15*15%),2)</f>
        <v>1941.15</v>
      </c>
      <c r="K15" s="94">
        <f>ROUND(((F15+J15)*12*E15),2)+0.76+2</f>
        <v>5089706.16</v>
      </c>
      <c r="L15" s="94">
        <f t="shared" ref="L15:L16" si="2">K15-O15</f>
        <v>5089706.16</v>
      </c>
      <c r="M15" s="94" t="s">
        <v>244</v>
      </c>
      <c r="N15" s="94" t="s">
        <v>244</v>
      </c>
      <c r="O15" s="95">
        <v>0</v>
      </c>
      <c r="P15" s="94" t="s">
        <v>244</v>
      </c>
      <c r="Q15" s="98">
        <f>(14710.8+100504.58+161671.69+99886.33+23684.39+23684.39)*12</f>
        <v>5089706.16</v>
      </c>
      <c r="R15" s="98">
        <f t="shared" si="0"/>
        <v>0</v>
      </c>
      <c r="S15" s="167">
        <f>Q15-K15</f>
        <v>0</v>
      </c>
      <c r="T15" s="168" t="s">
        <v>299</v>
      </c>
      <c r="U15" s="182">
        <v>5100</v>
      </c>
    </row>
    <row r="16" spans="2:22" s="64" customFormat="1" ht="35.25" customHeight="1">
      <c r="B16" s="272">
        <v>111</v>
      </c>
      <c r="C16" s="95" t="s">
        <v>205</v>
      </c>
      <c r="D16" s="91" t="s">
        <v>204</v>
      </c>
      <c r="E16" s="95">
        <f>3.7+0.3</f>
        <v>4</v>
      </c>
      <c r="F16" s="94">
        <f t="shared" si="1"/>
        <v>22981.006486486487</v>
      </c>
      <c r="G16" s="94">
        <f>(5880+30760)/E16</f>
        <v>9160</v>
      </c>
      <c r="H16" s="274">
        <f>1372+2332+588+999.6</f>
        <v>5291.6</v>
      </c>
      <c r="I16" s="274">
        <f>(18228/3.7)+1764+1838.92</f>
        <v>8529.4064864864868</v>
      </c>
      <c r="J16" s="94">
        <f xml:space="preserve"> ROUND((F16*15%),2)</f>
        <v>3447.15</v>
      </c>
      <c r="K16" s="94">
        <f>ROUND(((F16+J16)*12*E16),2)-0.31</f>
        <v>1268551.2</v>
      </c>
      <c r="L16" s="94">
        <f t="shared" si="2"/>
        <v>1268551.2</v>
      </c>
      <c r="M16" s="94" t="s">
        <v>244</v>
      </c>
      <c r="N16" s="94" t="s">
        <v>244</v>
      </c>
      <c r="O16" s="95">
        <v>0</v>
      </c>
      <c r="P16" s="94" t="s">
        <v>244</v>
      </c>
      <c r="Q16" s="98">
        <f>(10616.34+95096.26)*12</f>
        <v>1268551.2</v>
      </c>
      <c r="R16" s="98">
        <f>S16/1.15/12/E16</f>
        <v>0</v>
      </c>
      <c r="S16" s="167">
        <f>Q16-K16</f>
        <v>0</v>
      </c>
      <c r="T16" s="168" t="s">
        <v>7</v>
      </c>
      <c r="U16" s="244">
        <f>SUM(U11:U15)+U10</f>
        <v>14024442</v>
      </c>
      <c r="V16" s="98">
        <f>U16-K17</f>
        <v>0</v>
      </c>
    </row>
    <row r="17" spans="2:21" ht="15.75">
      <c r="B17" s="89"/>
      <c r="C17" s="310" t="s">
        <v>23</v>
      </c>
      <c r="D17" s="310"/>
      <c r="E17" s="140" t="s">
        <v>9</v>
      </c>
      <c r="F17" s="140" t="s">
        <v>9</v>
      </c>
      <c r="G17" s="140" t="s">
        <v>9</v>
      </c>
      <c r="H17" s="188" t="s">
        <v>9</v>
      </c>
      <c r="I17" s="140" t="s">
        <v>9</v>
      </c>
      <c r="J17" s="140" t="s">
        <v>9</v>
      </c>
      <c r="K17" s="119">
        <f>SUM(K13:K16)</f>
        <v>14024442</v>
      </c>
      <c r="L17" s="32">
        <f>SUM(L13:L16)</f>
        <v>13260342</v>
      </c>
      <c r="M17" s="32">
        <f t="shared" ref="M17:P17" si="3">SUM(M13:M16)</f>
        <v>759000</v>
      </c>
      <c r="N17" s="32">
        <f t="shared" si="3"/>
        <v>0</v>
      </c>
      <c r="O17" s="32">
        <f t="shared" si="3"/>
        <v>5100</v>
      </c>
      <c r="P17" s="32">
        <f t="shared" si="3"/>
        <v>0</v>
      </c>
      <c r="S17" s="165"/>
      <c r="U17" t="b">
        <f>K17=U16</f>
        <v>1</v>
      </c>
    </row>
    <row r="18" spans="2:21" ht="15" customHeight="1">
      <c r="J18" s="10"/>
      <c r="L18" s="10"/>
      <c r="S18" s="10"/>
    </row>
    <row r="19" spans="2:21" ht="21" customHeight="1">
      <c r="B19" s="2"/>
      <c r="C19" s="311" t="s">
        <v>255</v>
      </c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2"/>
      <c r="P19" s="2"/>
      <c r="Q19" s="49"/>
      <c r="R19" s="49"/>
      <c r="S19" s="49"/>
    </row>
    <row r="20" spans="2:21" ht="15.75" customHeight="1">
      <c r="B20" s="2"/>
      <c r="C20" s="2"/>
      <c r="D20" s="2"/>
      <c r="E20" s="2"/>
      <c r="F20" s="2"/>
      <c r="G20" s="2"/>
      <c r="H20" s="185"/>
      <c r="I20" s="2"/>
      <c r="J20" s="2"/>
      <c r="K20" s="63"/>
      <c r="L20" s="2"/>
      <c r="M20" s="2"/>
      <c r="N20" s="2"/>
      <c r="O20" s="2"/>
      <c r="P20" s="2"/>
    </row>
    <row r="21" spans="2:21" ht="34.5" customHeight="1">
      <c r="B21" s="309" t="s">
        <v>194</v>
      </c>
      <c r="C21" s="309" t="s">
        <v>2</v>
      </c>
      <c r="D21" s="309" t="s">
        <v>24</v>
      </c>
      <c r="E21" s="309" t="s">
        <v>210</v>
      </c>
      <c r="F21" s="309"/>
      <c r="G21" s="309" t="s">
        <v>196</v>
      </c>
      <c r="H21" s="309"/>
      <c r="I21" s="309"/>
      <c r="J21" s="309"/>
      <c r="K21" s="309"/>
      <c r="L21" s="309"/>
      <c r="M21" s="309"/>
      <c r="N21" s="48"/>
      <c r="O21" s="48"/>
      <c r="P21" s="48"/>
      <c r="Q21" s="48"/>
      <c r="R21" s="48"/>
    </row>
    <row r="22" spans="2:21" ht="90.75" customHeight="1">
      <c r="B22" s="309"/>
      <c r="C22" s="309"/>
      <c r="D22" s="309"/>
      <c r="E22" s="309"/>
      <c r="F22" s="309"/>
      <c r="G22" s="309" t="s">
        <v>197</v>
      </c>
      <c r="H22" s="309"/>
      <c r="I22" s="319" t="s">
        <v>198</v>
      </c>
      <c r="J22" s="319"/>
      <c r="K22" s="327" t="s">
        <v>199</v>
      </c>
      <c r="L22" s="328" t="s">
        <v>200</v>
      </c>
      <c r="M22" s="329"/>
      <c r="N22" s="308"/>
      <c r="O22" s="308"/>
      <c r="P22" s="148"/>
      <c r="Q22" s="7"/>
      <c r="R22" s="7"/>
      <c r="S22" s="7"/>
    </row>
    <row r="23" spans="2:21" ht="39" customHeight="1">
      <c r="B23" s="309"/>
      <c r="C23" s="309"/>
      <c r="D23" s="309"/>
      <c r="E23" s="309"/>
      <c r="F23" s="309"/>
      <c r="G23" s="309"/>
      <c r="H23" s="309"/>
      <c r="I23" s="319"/>
      <c r="J23" s="319"/>
      <c r="K23" s="327"/>
      <c r="L23" s="133" t="s">
        <v>14</v>
      </c>
      <c r="M23" s="133" t="s">
        <v>201</v>
      </c>
      <c r="N23" s="148"/>
      <c r="O23" s="148"/>
      <c r="P23" s="148"/>
      <c r="Q23" s="7"/>
      <c r="R23" s="7"/>
      <c r="S23" s="7"/>
    </row>
    <row r="24" spans="2:21" ht="15.75" customHeight="1">
      <c r="B24" s="133">
        <v>1</v>
      </c>
      <c r="C24" s="133">
        <v>2</v>
      </c>
      <c r="D24" s="133">
        <v>3</v>
      </c>
      <c r="E24" s="309">
        <v>4</v>
      </c>
      <c r="F24" s="309"/>
      <c r="G24" s="309">
        <v>5</v>
      </c>
      <c r="H24" s="309"/>
      <c r="I24" s="309">
        <v>6</v>
      </c>
      <c r="J24" s="309"/>
      <c r="K24" s="147">
        <v>7</v>
      </c>
      <c r="L24" s="133">
        <v>8</v>
      </c>
      <c r="M24" s="133">
        <v>9</v>
      </c>
      <c r="N24" s="148"/>
      <c r="O24" s="148"/>
      <c r="P24" s="148"/>
      <c r="Q24" s="7"/>
      <c r="R24" s="7"/>
      <c r="S24" s="7"/>
    </row>
    <row r="25" spans="2:21" ht="30.75" customHeight="1">
      <c r="B25" s="123">
        <v>111</v>
      </c>
      <c r="C25" s="123" t="s">
        <v>202</v>
      </c>
      <c r="D25" s="77" t="s">
        <v>287</v>
      </c>
      <c r="E25" s="320">
        <v>160000</v>
      </c>
      <c r="F25" s="321"/>
      <c r="G25" s="284" t="s">
        <v>9</v>
      </c>
      <c r="H25" s="284"/>
      <c r="I25" s="284" t="s">
        <v>9</v>
      </c>
      <c r="J25" s="284"/>
      <c r="K25" s="95" t="s">
        <v>9</v>
      </c>
      <c r="L25" s="123" t="s">
        <v>9</v>
      </c>
      <c r="M25" s="123" t="s">
        <v>9</v>
      </c>
      <c r="N25" s="48"/>
      <c r="O25" s="48"/>
      <c r="P25" s="48"/>
      <c r="Q25" s="57" t="s">
        <v>301</v>
      </c>
      <c r="R25" s="57"/>
      <c r="S25" s="7"/>
    </row>
    <row r="26" spans="2:21" ht="15.75" customHeight="1">
      <c r="B26" s="9"/>
      <c r="C26" s="322" t="s">
        <v>23</v>
      </c>
      <c r="D26" s="323"/>
      <c r="E26" s="324">
        <f>SUM(E25)</f>
        <v>160000</v>
      </c>
      <c r="F26" s="324"/>
      <c r="G26" s="324">
        <f>E26</f>
        <v>160000</v>
      </c>
      <c r="H26" s="325"/>
      <c r="I26" s="326">
        <v>0</v>
      </c>
      <c r="J26" s="326"/>
      <c r="K26" s="120">
        <v>0</v>
      </c>
      <c r="L26" s="146">
        <v>0</v>
      </c>
      <c r="M26" s="146">
        <v>0</v>
      </c>
      <c r="N26" s="48"/>
      <c r="O26" s="48"/>
      <c r="P26" s="48"/>
      <c r="Q26" s="7"/>
      <c r="R26" s="7"/>
      <c r="S26" s="7"/>
    </row>
    <row r="27" spans="2:21" ht="15.75">
      <c r="B27" s="75"/>
      <c r="C27" s="75"/>
      <c r="D27" s="76"/>
      <c r="E27" s="6"/>
      <c r="F27" s="6"/>
      <c r="G27" s="6"/>
      <c r="H27" s="189"/>
      <c r="I27" s="148"/>
      <c r="J27" s="148"/>
      <c r="K27" s="121"/>
      <c r="L27" s="148"/>
      <c r="M27" s="48"/>
      <c r="N27" s="48"/>
      <c r="O27" s="48"/>
      <c r="P27" s="48"/>
      <c r="Q27" s="7"/>
      <c r="R27" s="7"/>
      <c r="S27" s="7"/>
    </row>
    <row r="28" spans="2:21" ht="18.75" customHeight="1">
      <c r="B28" s="2"/>
      <c r="C28" s="302" t="s">
        <v>256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59"/>
      <c r="P28" s="59"/>
    </row>
    <row r="29" spans="2:21" ht="15.75">
      <c r="B29" s="2"/>
      <c r="C29" s="2"/>
      <c r="D29" s="2"/>
      <c r="E29" s="2"/>
      <c r="F29" s="2"/>
      <c r="G29" s="2"/>
      <c r="H29" s="185"/>
      <c r="I29" s="2"/>
      <c r="J29" s="2"/>
      <c r="K29" s="63"/>
      <c r="L29" s="2"/>
      <c r="M29" s="2"/>
      <c r="N29" s="2"/>
      <c r="O29" s="2"/>
      <c r="P29" s="2"/>
    </row>
    <row r="30" spans="2:21" ht="36" customHeight="1">
      <c r="B30" s="309" t="s">
        <v>194</v>
      </c>
      <c r="C30" s="309" t="s">
        <v>2</v>
      </c>
      <c r="D30" s="309" t="s">
        <v>24</v>
      </c>
      <c r="E30" s="309" t="s">
        <v>207</v>
      </c>
      <c r="F30" s="309" t="s">
        <v>208</v>
      </c>
      <c r="G30" s="309" t="s">
        <v>209</v>
      </c>
      <c r="H30" s="186" t="s">
        <v>210</v>
      </c>
      <c r="I30" s="309" t="s">
        <v>196</v>
      </c>
      <c r="J30" s="309"/>
      <c r="K30" s="309"/>
      <c r="L30" s="309"/>
      <c r="M30" s="309"/>
      <c r="N30" s="309"/>
      <c r="O30" s="309"/>
      <c r="P30" s="48"/>
    </row>
    <row r="31" spans="2:21" ht="87.75" customHeight="1">
      <c r="B31" s="309"/>
      <c r="C31" s="309"/>
      <c r="D31" s="309"/>
      <c r="E31" s="309"/>
      <c r="F31" s="309"/>
      <c r="G31" s="309"/>
      <c r="H31" s="333" t="s">
        <v>247</v>
      </c>
      <c r="I31" s="306" t="s">
        <v>197</v>
      </c>
      <c r="J31" s="306"/>
      <c r="K31" s="319" t="s">
        <v>198</v>
      </c>
      <c r="L31" s="319"/>
      <c r="M31" s="309" t="s">
        <v>199</v>
      </c>
      <c r="N31" s="330" t="s">
        <v>200</v>
      </c>
      <c r="O31" s="331"/>
      <c r="P31" s="148"/>
      <c r="Q31" s="332"/>
      <c r="R31" s="332"/>
      <c r="S31" s="332"/>
      <c r="T31" s="2"/>
    </row>
    <row r="32" spans="2:21" ht="30.75" customHeight="1">
      <c r="B32" s="309"/>
      <c r="C32" s="309"/>
      <c r="D32" s="309"/>
      <c r="E32" s="309"/>
      <c r="F32" s="309"/>
      <c r="G32" s="309"/>
      <c r="H32" s="333"/>
      <c r="I32" s="306"/>
      <c r="J32" s="306"/>
      <c r="K32" s="319"/>
      <c r="L32" s="319"/>
      <c r="M32" s="309"/>
      <c r="N32" s="125" t="s">
        <v>14</v>
      </c>
      <c r="O32" s="125" t="s">
        <v>201</v>
      </c>
      <c r="P32" s="148"/>
      <c r="Q32" s="143"/>
      <c r="R32" s="143"/>
      <c r="S32" s="143"/>
      <c r="T32" s="2"/>
    </row>
    <row r="33" spans="2:20" ht="15.75">
      <c r="B33" s="133">
        <v>1</v>
      </c>
      <c r="C33" s="133">
        <v>2</v>
      </c>
      <c r="D33" s="133">
        <v>3</v>
      </c>
      <c r="E33" s="133">
        <v>4</v>
      </c>
      <c r="F33" s="133">
        <v>5</v>
      </c>
      <c r="G33" s="133">
        <v>6</v>
      </c>
      <c r="H33" s="186">
        <v>7</v>
      </c>
      <c r="I33" s="309">
        <v>8</v>
      </c>
      <c r="J33" s="309"/>
      <c r="K33" s="309">
        <v>9</v>
      </c>
      <c r="L33" s="309"/>
      <c r="M33" s="133">
        <v>10</v>
      </c>
      <c r="N33" s="133">
        <v>11</v>
      </c>
      <c r="O33" s="133">
        <v>12</v>
      </c>
      <c r="P33" s="148"/>
      <c r="Q33" s="148"/>
      <c r="R33" s="148"/>
      <c r="S33" s="148"/>
      <c r="T33" s="2"/>
    </row>
    <row r="34" spans="2:20" ht="84" customHeight="1">
      <c r="B34" s="123">
        <v>112</v>
      </c>
      <c r="C34" s="123" t="s">
        <v>202</v>
      </c>
      <c r="D34" s="45" t="s">
        <v>288</v>
      </c>
      <c r="E34" s="61">
        <v>200</v>
      </c>
      <c r="F34" s="123">
        <f>H34/G34/E34</f>
        <v>0</v>
      </c>
      <c r="G34" s="123">
        <v>10</v>
      </c>
      <c r="H34" s="187">
        <v>0</v>
      </c>
      <c r="I34" s="284" t="s">
        <v>9</v>
      </c>
      <c r="J34" s="284"/>
      <c r="K34" s="284" t="s">
        <v>9</v>
      </c>
      <c r="L34" s="284"/>
      <c r="M34" s="123" t="s">
        <v>9</v>
      </c>
      <c r="N34" s="123" t="s">
        <v>9</v>
      </c>
      <c r="O34" s="123" t="s">
        <v>9</v>
      </c>
      <c r="P34" s="75"/>
      <c r="Q34" s="57" t="s">
        <v>300</v>
      </c>
      <c r="R34" s="57"/>
      <c r="S34" s="6"/>
      <c r="T34" s="2"/>
    </row>
    <row r="35" spans="2:20" ht="15.75">
      <c r="B35" s="9"/>
      <c r="C35" s="45"/>
      <c r="D35" s="145" t="s">
        <v>23</v>
      </c>
      <c r="E35" s="140" t="s">
        <v>9</v>
      </c>
      <c r="F35" s="140" t="s">
        <v>9</v>
      </c>
      <c r="G35" s="140" t="s">
        <v>9</v>
      </c>
      <c r="H35" s="190">
        <f>SUM(H34)</f>
        <v>0</v>
      </c>
      <c r="I35" s="334">
        <f>H35</f>
        <v>0</v>
      </c>
      <c r="J35" s="335"/>
      <c r="K35" s="334">
        <v>0</v>
      </c>
      <c r="L35" s="334"/>
      <c r="M35" s="144">
        <v>0</v>
      </c>
      <c r="N35" s="144">
        <v>0</v>
      </c>
      <c r="O35" s="144">
        <v>0</v>
      </c>
      <c r="P35" s="79"/>
      <c r="Q35" s="48"/>
      <c r="R35" s="48"/>
      <c r="S35" s="48"/>
      <c r="T35" s="2"/>
    </row>
    <row r="36" spans="2:20" ht="15" customHeight="1"/>
    <row r="37" spans="2:20" ht="34.5" customHeight="1">
      <c r="B37" s="2"/>
      <c r="C37" s="302" t="s">
        <v>257</v>
      </c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59"/>
      <c r="P37" s="59"/>
    </row>
    <row r="38" spans="2:20" ht="15.75" customHeight="1">
      <c r="B38" s="2"/>
      <c r="C38" s="2"/>
      <c r="D38" s="2"/>
      <c r="E38" s="2"/>
      <c r="F38" s="2"/>
      <c r="G38" s="2"/>
      <c r="H38" s="185"/>
      <c r="I38" s="2"/>
      <c r="J38" s="2"/>
      <c r="K38" s="63"/>
      <c r="L38" s="2"/>
      <c r="M38" s="2"/>
      <c r="N38" s="2"/>
      <c r="O38" s="2"/>
      <c r="P38" s="2"/>
    </row>
    <row r="39" spans="2:20" ht="36" customHeight="1">
      <c r="B39" s="309" t="s">
        <v>194</v>
      </c>
      <c r="C39" s="309" t="s">
        <v>2</v>
      </c>
      <c r="D39" s="309" t="s">
        <v>24</v>
      </c>
      <c r="E39" s="309" t="s">
        <v>207</v>
      </c>
      <c r="F39" s="309" t="s">
        <v>208</v>
      </c>
      <c r="G39" s="309" t="s">
        <v>209</v>
      </c>
      <c r="H39" s="186" t="s">
        <v>210</v>
      </c>
      <c r="I39" s="309" t="s">
        <v>196</v>
      </c>
      <c r="J39" s="309"/>
      <c r="K39" s="309"/>
      <c r="L39" s="309"/>
      <c r="M39" s="309"/>
      <c r="N39" s="309"/>
      <c r="O39" s="309"/>
      <c r="P39" s="48"/>
    </row>
    <row r="40" spans="2:20" ht="87" customHeight="1">
      <c r="B40" s="309"/>
      <c r="C40" s="309"/>
      <c r="D40" s="309"/>
      <c r="E40" s="309"/>
      <c r="F40" s="309"/>
      <c r="G40" s="309"/>
      <c r="H40" s="333" t="s">
        <v>247</v>
      </c>
      <c r="I40" s="306" t="s">
        <v>197</v>
      </c>
      <c r="J40" s="306"/>
      <c r="K40" s="319" t="s">
        <v>198</v>
      </c>
      <c r="L40" s="319"/>
      <c r="M40" s="309" t="s">
        <v>199</v>
      </c>
      <c r="N40" s="306" t="s">
        <v>200</v>
      </c>
      <c r="O40" s="306"/>
      <c r="P40" s="148"/>
      <c r="Q40" s="332"/>
      <c r="R40" s="332"/>
      <c r="S40" s="332"/>
      <c r="T40" s="2"/>
    </row>
    <row r="41" spans="2:20" ht="30.75" customHeight="1">
      <c r="B41" s="309"/>
      <c r="C41" s="309"/>
      <c r="D41" s="309"/>
      <c r="E41" s="309"/>
      <c r="F41" s="309"/>
      <c r="G41" s="309"/>
      <c r="H41" s="333"/>
      <c r="I41" s="306"/>
      <c r="J41" s="306"/>
      <c r="K41" s="319"/>
      <c r="L41" s="319"/>
      <c r="M41" s="309"/>
      <c r="N41" s="125" t="s">
        <v>14</v>
      </c>
      <c r="O41" s="125" t="s">
        <v>201</v>
      </c>
      <c r="P41" s="148"/>
      <c r="Q41" s="143"/>
      <c r="R41" s="143"/>
      <c r="S41" s="143"/>
      <c r="T41" s="2"/>
    </row>
    <row r="42" spans="2:20" ht="15.75" customHeight="1">
      <c r="B42" s="133">
        <v>1</v>
      </c>
      <c r="C42" s="133">
        <v>2</v>
      </c>
      <c r="D42" s="133">
        <v>3</v>
      </c>
      <c r="E42" s="133">
        <v>4</v>
      </c>
      <c r="F42" s="133">
        <v>5</v>
      </c>
      <c r="G42" s="133">
        <v>6</v>
      </c>
      <c r="H42" s="186">
        <v>7</v>
      </c>
      <c r="I42" s="309">
        <v>8</v>
      </c>
      <c r="J42" s="309"/>
      <c r="K42" s="309">
        <v>9</v>
      </c>
      <c r="L42" s="309"/>
      <c r="M42" s="133">
        <v>10</v>
      </c>
      <c r="N42" s="133">
        <v>11</v>
      </c>
      <c r="O42" s="133">
        <v>12</v>
      </c>
      <c r="P42" s="148"/>
      <c r="Q42" s="148"/>
      <c r="R42" s="148"/>
      <c r="S42" s="148"/>
      <c r="T42" s="2"/>
    </row>
    <row r="43" spans="2:20" ht="18" customHeight="1">
      <c r="B43" s="9"/>
      <c r="C43" s="123"/>
      <c r="D43" s="117"/>
      <c r="E43" s="9"/>
      <c r="F43" s="9"/>
      <c r="G43" s="9"/>
      <c r="H43" s="191"/>
      <c r="I43" s="284" t="s">
        <v>9</v>
      </c>
      <c r="J43" s="284"/>
      <c r="K43" s="284" t="s">
        <v>9</v>
      </c>
      <c r="L43" s="284"/>
      <c r="M43" s="123" t="s">
        <v>9</v>
      </c>
      <c r="N43" s="123" t="s">
        <v>9</v>
      </c>
      <c r="O43" s="123" t="s">
        <v>9</v>
      </c>
      <c r="P43" s="75"/>
      <c r="Q43" s="6" t="s">
        <v>326</v>
      </c>
      <c r="R43" s="6"/>
      <c r="S43" s="6"/>
      <c r="T43" s="2"/>
    </row>
    <row r="44" spans="2:20" ht="15.75" customHeight="1">
      <c r="B44" s="9"/>
      <c r="C44" s="45"/>
      <c r="D44" s="145" t="s">
        <v>23</v>
      </c>
      <c r="E44" s="140" t="s">
        <v>9</v>
      </c>
      <c r="F44" s="140" t="s">
        <v>9</v>
      </c>
      <c r="G44" s="140" t="s">
        <v>9</v>
      </c>
      <c r="H44" s="192"/>
      <c r="I44" s="335"/>
      <c r="J44" s="335"/>
      <c r="K44" s="335"/>
      <c r="L44" s="335"/>
      <c r="M44" s="52"/>
      <c r="N44" s="52"/>
      <c r="O44" s="52"/>
      <c r="P44" s="79"/>
      <c r="Q44" s="48"/>
      <c r="R44" s="48"/>
      <c r="S44" s="48"/>
      <c r="T44" s="2"/>
    </row>
    <row r="45" spans="2:20" ht="15.75">
      <c r="B45" s="75"/>
      <c r="C45" s="48"/>
      <c r="D45" s="14"/>
      <c r="E45" s="78"/>
      <c r="F45" s="78"/>
      <c r="G45" s="78"/>
      <c r="H45" s="193"/>
      <c r="I45" s="78"/>
      <c r="J45" s="78"/>
      <c r="K45" s="122"/>
      <c r="L45" s="78"/>
      <c r="M45" s="79"/>
      <c r="N45" s="79"/>
      <c r="O45" s="48"/>
      <c r="P45" s="48"/>
      <c r="Q45" s="48"/>
      <c r="R45" s="48"/>
      <c r="S45" s="48"/>
      <c r="T45" s="2"/>
    </row>
    <row r="46" spans="2:20" ht="54.75" customHeight="1">
      <c r="B46" s="2"/>
      <c r="C46" s="312" t="s">
        <v>258</v>
      </c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2"/>
      <c r="P46" s="2"/>
    </row>
    <row r="47" spans="2:20" ht="15.75">
      <c r="B47" s="2"/>
      <c r="C47" s="2"/>
      <c r="D47" s="2"/>
      <c r="E47" s="2"/>
      <c r="F47" s="2"/>
      <c r="G47" s="2"/>
      <c r="H47" s="185"/>
      <c r="I47" s="2"/>
      <c r="J47" s="2"/>
      <c r="K47" s="63"/>
      <c r="L47" s="2"/>
      <c r="M47" s="2"/>
      <c r="N47" s="2"/>
      <c r="O47" s="2"/>
      <c r="P47" s="2"/>
    </row>
    <row r="48" spans="2:20" ht="23.25" customHeight="1">
      <c r="B48" s="309" t="s">
        <v>194</v>
      </c>
      <c r="C48" s="309" t="s">
        <v>2</v>
      </c>
      <c r="D48" s="309" t="s">
        <v>25</v>
      </c>
      <c r="E48" s="309" t="s">
        <v>212</v>
      </c>
      <c r="F48" s="309" t="s">
        <v>213</v>
      </c>
      <c r="G48" s="309" t="s">
        <v>214</v>
      </c>
      <c r="H48" s="309" t="s">
        <v>196</v>
      </c>
      <c r="I48" s="309"/>
      <c r="J48" s="309"/>
      <c r="K48" s="309"/>
      <c r="L48" s="309"/>
      <c r="M48" s="309"/>
      <c r="N48" s="309"/>
      <c r="O48" s="48"/>
      <c r="P48" s="48"/>
    </row>
    <row r="49" spans="2:21" ht="84" customHeight="1">
      <c r="B49" s="309"/>
      <c r="C49" s="309"/>
      <c r="D49" s="309"/>
      <c r="E49" s="309"/>
      <c r="F49" s="309"/>
      <c r="G49" s="328"/>
      <c r="H49" s="309" t="s">
        <v>197</v>
      </c>
      <c r="I49" s="309"/>
      <c r="J49" s="336" t="s">
        <v>198</v>
      </c>
      <c r="K49" s="319"/>
      <c r="L49" s="309" t="s">
        <v>199</v>
      </c>
      <c r="M49" s="309" t="s">
        <v>200</v>
      </c>
      <c r="N49" s="309"/>
      <c r="O49" s="48"/>
      <c r="P49" s="48"/>
    </row>
    <row r="50" spans="2:21" ht="36" customHeight="1">
      <c r="B50" s="309"/>
      <c r="C50" s="309"/>
      <c r="D50" s="309"/>
      <c r="E50" s="309"/>
      <c r="F50" s="309"/>
      <c r="G50" s="328"/>
      <c r="H50" s="309"/>
      <c r="I50" s="309"/>
      <c r="J50" s="336"/>
      <c r="K50" s="319"/>
      <c r="L50" s="309"/>
      <c r="M50" s="133" t="s">
        <v>14</v>
      </c>
      <c r="N50" s="133" t="s">
        <v>201</v>
      </c>
      <c r="O50" s="148"/>
      <c r="P50" s="148"/>
    </row>
    <row r="51" spans="2:21" ht="15.75">
      <c r="B51" s="133">
        <v>1</v>
      </c>
      <c r="C51" s="133">
        <v>2</v>
      </c>
      <c r="D51" s="133">
        <v>3</v>
      </c>
      <c r="E51" s="133">
        <v>4</v>
      </c>
      <c r="F51" s="133">
        <v>5</v>
      </c>
      <c r="G51" s="139">
        <v>6</v>
      </c>
      <c r="H51" s="309">
        <v>7</v>
      </c>
      <c r="I51" s="309"/>
      <c r="J51" s="329">
        <v>8</v>
      </c>
      <c r="K51" s="309"/>
      <c r="L51" s="133">
        <v>9</v>
      </c>
      <c r="M51" s="133">
        <v>10</v>
      </c>
      <c r="N51" s="133">
        <v>11</v>
      </c>
      <c r="O51" s="148"/>
      <c r="P51" s="148"/>
    </row>
    <row r="52" spans="2:21" ht="63">
      <c r="B52" s="95">
        <v>119</v>
      </c>
      <c r="C52" s="123" t="s">
        <v>202</v>
      </c>
      <c r="D52" s="117" t="s">
        <v>26</v>
      </c>
      <c r="E52" s="123" t="s">
        <v>9</v>
      </c>
      <c r="F52" s="123" t="s">
        <v>9</v>
      </c>
      <c r="G52" s="28">
        <f>SUM(G53:G54)</f>
        <v>3120592</v>
      </c>
      <c r="H52" s="284" t="s">
        <v>9</v>
      </c>
      <c r="I52" s="284"/>
      <c r="J52" s="284" t="s">
        <v>9</v>
      </c>
      <c r="K52" s="284"/>
      <c r="L52" s="124" t="s">
        <v>9</v>
      </c>
      <c r="M52" s="124" t="s">
        <v>9</v>
      </c>
      <c r="N52" s="124" t="s">
        <v>9</v>
      </c>
      <c r="O52" s="6"/>
      <c r="R52" s="18">
        <f>ROUND((208644*100/30.2),0)</f>
        <v>690874</v>
      </c>
    </row>
    <row r="53" spans="2:21" ht="15.75">
      <c r="B53" s="95">
        <v>119</v>
      </c>
      <c r="C53" s="123" t="s">
        <v>27</v>
      </c>
      <c r="D53" s="117" t="s">
        <v>215</v>
      </c>
      <c r="E53" s="123">
        <v>22</v>
      </c>
      <c r="F53" s="108">
        <f>K17</f>
        <v>14024442</v>
      </c>
      <c r="G53" s="28">
        <f>ROUND((F53*22%),0)+187207-151992</f>
        <v>3120592</v>
      </c>
      <c r="H53" s="284" t="s">
        <v>9</v>
      </c>
      <c r="I53" s="284"/>
      <c r="J53" s="284" t="s">
        <v>9</v>
      </c>
      <c r="K53" s="284"/>
      <c r="L53" s="124" t="s">
        <v>9</v>
      </c>
      <c r="M53" s="124" t="s">
        <v>9</v>
      </c>
      <c r="N53" s="124" t="s">
        <v>9</v>
      </c>
      <c r="O53" s="6"/>
      <c r="Q53" s="57" t="s">
        <v>302</v>
      </c>
      <c r="R53" s="131">
        <f>SUM(R54:R58)</f>
        <v>208644</v>
      </c>
      <c r="T53" t="s">
        <v>314</v>
      </c>
      <c r="U53">
        <v>229218</v>
      </c>
    </row>
    <row r="54" spans="2:21" ht="15.75">
      <c r="B54" s="95">
        <v>119</v>
      </c>
      <c r="C54" s="123" t="s">
        <v>28</v>
      </c>
      <c r="D54" s="117" t="s">
        <v>216</v>
      </c>
      <c r="E54" s="123">
        <v>10</v>
      </c>
      <c r="F54" s="9"/>
      <c r="G54" s="28">
        <f>ROUND((F54*22%),2)</f>
        <v>0</v>
      </c>
      <c r="H54" s="284" t="s">
        <v>9</v>
      </c>
      <c r="I54" s="284"/>
      <c r="J54" s="284" t="s">
        <v>9</v>
      </c>
      <c r="K54" s="284"/>
      <c r="L54" s="124" t="s">
        <v>9</v>
      </c>
      <c r="M54" s="124" t="s">
        <v>9</v>
      </c>
      <c r="N54" s="124" t="s">
        <v>9</v>
      </c>
      <c r="O54" s="6"/>
      <c r="R54" s="61">
        <f>ROUND((R52*22%),0)</f>
        <v>151992</v>
      </c>
    </row>
    <row r="55" spans="2:21" ht="66" customHeight="1">
      <c r="B55" s="95">
        <v>119</v>
      </c>
      <c r="C55" s="123" t="s">
        <v>180</v>
      </c>
      <c r="D55" s="117" t="s">
        <v>30</v>
      </c>
      <c r="E55" s="123" t="s">
        <v>9</v>
      </c>
      <c r="F55" s="123" t="s">
        <v>9</v>
      </c>
      <c r="G55" s="28">
        <f>G56+G57</f>
        <v>439720</v>
      </c>
      <c r="H55" s="284" t="s">
        <v>9</v>
      </c>
      <c r="I55" s="284"/>
      <c r="J55" s="284" t="s">
        <v>9</v>
      </c>
      <c r="K55" s="284"/>
      <c r="L55" s="124" t="s">
        <v>9</v>
      </c>
      <c r="M55" s="124" t="s">
        <v>9</v>
      </c>
      <c r="N55" s="124" t="s">
        <v>9</v>
      </c>
      <c r="O55" s="6"/>
      <c r="R55" s="37"/>
      <c r="T55" s="109" t="s">
        <v>306</v>
      </c>
      <c r="U55" s="176">
        <v>2729598</v>
      </c>
    </row>
    <row r="56" spans="2:21" ht="102" customHeight="1">
      <c r="B56" s="95">
        <v>119</v>
      </c>
      <c r="C56" s="123" t="s">
        <v>31</v>
      </c>
      <c r="D56" s="117" t="s">
        <v>217</v>
      </c>
      <c r="E56" s="123">
        <v>2.9</v>
      </c>
      <c r="F56" s="15">
        <f>F53</f>
        <v>14024442</v>
      </c>
      <c r="G56" s="28">
        <f>ROUND((F56*2.9%),0)+24677-20035</f>
        <v>411351</v>
      </c>
      <c r="H56" s="284" t="s">
        <v>9</v>
      </c>
      <c r="I56" s="284"/>
      <c r="J56" s="284" t="s">
        <v>9</v>
      </c>
      <c r="K56" s="284"/>
      <c r="L56" s="124" t="s">
        <v>9</v>
      </c>
      <c r="M56" s="124" t="s">
        <v>9</v>
      </c>
      <c r="N56" s="124" t="s">
        <v>9</v>
      </c>
      <c r="O56" s="6"/>
      <c r="R56" s="61">
        <f>ROUND((R52*2.9%),0)</f>
        <v>20035</v>
      </c>
      <c r="T56" s="109" t="s">
        <v>305</v>
      </c>
      <c r="U56" s="177">
        <v>1323350</v>
      </c>
    </row>
    <row r="57" spans="2:21" ht="84.75" customHeight="1">
      <c r="B57" s="95">
        <v>119</v>
      </c>
      <c r="C57" s="123" t="s">
        <v>32</v>
      </c>
      <c r="D57" s="45" t="s">
        <v>218</v>
      </c>
      <c r="E57" s="123">
        <v>0.2</v>
      </c>
      <c r="F57" s="15">
        <f>F53</f>
        <v>14024442</v>
      </c>
      <c r="G57" s="28">
        <f>ROUND((F57*0.2%),0)+1702-1382</f>
        <v>28369</v>
      </c>
      <c r="H57" s="284" t="s">
        <v>9</v>
      </c>
      <c r="I57" s="284"/>
      <c r="J57" s="284" t="s">
        <v>9</v>
      </c>
      <c r="K57" s="284"/>
      <c r="L57" s="124" t="s">
        <v>9</v>
      </c>
      <c r="M57" s="124" t="s">
        <v>9</v>
      </c>
      <c r="N57" s="124" t="s">
        <v>9</v>
      </c>
      <c r="O57" s="6"/>
      <c r="R57" s="61">
        <f>ROUND((R52*0.2%),0)</f>
        <v>1382</v>
      </c>
      <c r="T57" s="109" t="s">
        <v>299</v>
      </c>
      <c r="U57" s="109">
        <v>1556</v>
      </c>
    </row>
    <row r="58" spans="2:21" ht="82.5" customHeight="1">
      <c r="B58" s="95">
        <v>119</v>
      </c>
      <c r="C58" s="123" t="s">
        <v>185</v>
      </c>
      <c r="D58" s="50" t="s">
        <v>33</v>
      </c>
      <c r="E58" s="123">
        <v>5.0999999999999996</v>
      </c>
      <c r="F58" s="15">
        <f>F53</f>
        <v>14024442</v>
      </c>
      <c r="G58" s="178">
        <f>ROUND((F58*5.1%),0)+43398-35235</f>
        <v>723410</v>
      </c>
      <c r="H58" s="337" t="s">
        <v>9</v>
      </c>
      <c r="I58" s="337"/>
      <c r="J58" s="337" t="s">
        <v>9</v>
      </c>
      <c r="K58" s="337"/>
      <c r="L58" s="142" t="s">
        <v>9</v>
      </c>
      <c r="M58" s="142" t="s">
        <v>9</v>
      </c>
      <c r="N58" s="142" t="s">
        <v>9</v>
      </c>
      <c r="O58" s="115"/>
      <c r="R58" s="61">
        <f>ROUND((R52*5.1%),0)</f>
        <v>35235</v>
      </c>
      <c r="T58" s="109" t="s">
        <v>7</v>
      </c>
      <c r="U58" s="110">
        <f>SUM(U55:U57)+U53</f>
        <v>4283722</v>
      </c>
    </row>
    <row r="59" spans="2:21" ht="15.75">
      <c r="B59" s="9"/>
      <c r="C59" s="117"/>
      <c r="D59" s="54" t="s">
        <v>23</v>
      </c>
      <c r="E59" s="140" t="s">
        <v>9</v>
      </c>
      <c r="F59" s="140" t="s">
        <v>9</v>
      </c>
      <c r="G59" s="119">
        <f>G58+G55+G52</f>
        <v>4283722</v>
      </c>
      <c r="H59" s="338">
        <f>U55+U56</f>
        <v>4052948</v>
      </c>
      <c r="I59" s="339"/>
      <c r="J59" s="338">
        <f>U53</f>
        <v>229218</v>
      </c>
      <c r="K59" s="338"/>
      <c r="L59" s="141">
        <v>0</v>
      </c>
      <c r="M59" s="141">
        <f>U57</f>
        <v>1556</v>
      </c>
      <c r="N59" s="141">
        <v>0</v>
      </c>
      <c r="O59" s="116"/>
      <c r="P59" s="48"/>
      <c r="Q59" s="112">
        <f>H59+J59+L59+M59</f>
        <v>4283722</v>
      </c>
      <c r="R59" s="112"/>
      <c r="S59" s="112">
        <f>Q59-G59</f>
        <v>0</v>
      </c>
      <c r="U59" t="b">
        <f>G59=U58</f>
        <v>1</v>
      </c>
    </row>
    <row r="60" spans="2:21" ht="15" customHeight="1">
      <c r="F60" s="10"/>
      <c r="G60" s="10"/>
      <c r="H60" s="245"/>
      <c r="N60" s="49"/>
      <c r="Q60" t="b">
        <f>G59=Q59</f>
        <v>1</v>
      </c>
      <c r="U60" s="10">
        <f>U58-G59</f>
        <v>0</v>
      </c>
    </row>
    <row r="61" spans="2:21" ht="36" customHeight="1">
      <c r="B61" s="340" t="s">
        <v>219</v>
      </c>
      <c r="C61" s="340"/>
      <c r="D61" s="340"/>
      <c r="E61" s="340"/>
      <c r="F61" s="340"/>
      <c r="G61" s="340"/>
      <c r="H61" s="340"/>
      <c r="I61" s="340"/>
      <c r="J61" s="340"/>
      <c r="K61" s="340"/>
      <c r="L61" s="340"/>
      <c r="M61" s="340"/>
      <c r="N61" s="7"/>
      <c r="O61" s="62"/>
      <c r="P61" s="62"/>
      <c r="Q61" s="62"/>
      <c r="R61" s="62"/>
    </row>
    <row r="62" spans="2:21" ht="15" customHeight="1"/>
    <row r="63" spans="2:21" s="64" customFormat="1" ht="24" customHeight="1">
      <c r="B63" s="63"/>
      <c r="C63" s="302" t="s">
        <v>253</v>
      </c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63"/>
      <c r="O63" s="63"/>
      <c r="P63" s="63"/>
    </row>
    <row r="64" spans="2:21" s="64" customFormat="1" ht="15.75" customHeight="1">
      <c r="B64" s="63"/>
      <c r="C64" s="63"/>
      <c r="D64" s="63"/>
      <c r="E64" s="63"/>
      <c r="F64" s="63"/>
      <c r="G64" s="63"/>
      <c r="H64" s="185"/>
      <c r="I64" s="63"/>
      <c r="J64" s="63"/>
      <c r="K64" s="63"/>
      <c r="L64" s="63"/>
      <c r="M64" s="63"/>
      <c r="N64" s="63"/>
      <c r="O64" s="63"/>
      <c r="P64" s="63"/>
    </row>
    <row r="65" spans="2:18" s="64" customFormat="1" ht="38.25" customHeight="1">
      <c r="B65" s="307" t="s">
        <v>194</v>
      </c>
      <c r="C65" s="307" t="s">
        <v>2</v>
      </c>
      <c r="D65" s="307" t="s">
        <v>3</v>
      </c>
      <c r="E65" s="307" t="s">
        <v>220</v>
      </c>
      <c r="F65" s="307" t="s">
        <v>221</v>
      </c>
      <c r="G65" s="129" t="s">
        <v>222</v>
      </c>
      <c r="H65" s="307" t="s">
        <v>196</v>
      </c>
      <c r="I65" s="307"/>
      <c r="J65" s="307"/>
      <c r="K65" s="307"/>
      <c r="L65" s="307"/>
      <c r="M65" s="307"/>
      <c r="N65" s="307"/>
      <c r="O65" s="70"/>
      <c r="P65" s="70"/>
      <c r="Q65" s="70"/>
      <c r="R65" s="70"/>
    </row>
    <row r="66" spans="2:18" s="64" customFormat="1" ht="84" customHeight="1">
      <c r="B66" s="307"/>
      <c r="C66" s="307"/>
      <c r="D66" s="307"/>
      <c r="E66" s="307"/>
      <c r="F66" s="307"/>
      <c r="G66" s="307" t="s">
        <v>242</v>
      </c>
      <c r="H66" s="307" t="s">
        <v>197</v>
      </c>
      <c r="I66" s="307"/>
      <c r="J66" s="342" t="s">
        <v>198</v>
      </c>
      <c r="K66" s="342"/>
      <c r="L66" s="309" t="s">
        <v>199</v>
      </c>
      <c r="M66" s="309" t="s">
        <v>200</v>
      </c>
      <c r="N66" s="309"/>
      <c r="O66" s="70"/>
      <c r="P66" s="70"/>
      <c r="Q66" s="70"/>
      <c r="R66" s="70"/>
    </row>
    <row r="67" spans="2:18" s="64" customFormat="1" ht="35.25" customHeight="1">
      <c r="B67" s="307"/>
      <c r="C67" s="307"/>
      <c r="D67" s="307"/>
      <c r="E67" s="307"/>
      <c r="F67" s="307"/>
      <c r="G67" s="307"/>
      <c r="H67" s="307"/>
      <c r="I67" s="307"/>
      <c r="J67" s="342"/>
      <c r="K67" s="342"/>
      <c r="L67" s="309"/>
      <c r="M67" s="133" t="s">
        <v>14</v>
      </c>
      <c r="N67" s="133" t="s">
        <v>201</v>
      </c>
      <c r="O67" s="136"/>
      <c r="P67" s="136"/>
      <c r="Q67" s="80"/>
      <c r="R67" s="80"/>
    </row>
    <row r="68" spans="2:18" s="64" customFormat="1" ht="15.75" customHeight="1">
      <c r="B68" s="129">
        <v>1</v>
      </c>
      <c r="C68" s="129">
        <v>2</v>
      </c>
      <c r="D68" s="129">
        <v>3</v>
      </c>
      <c r="E68" s="129">
        <v>4</v>
      </c>
      <c r="F68" s="129">
        <v>5</v>
      </c>
      <c r="G68" s="129">
        <v>6</v>
      </c>
      <c r="H68" s="307">
        <v>7</v>
      </c>
      <c r="I68" s="307"/>
      <c r="J68" s="307">
        <v>8</v>
      </c>
      <c r="K68" s="307"/>
      <c r="L68" s="133">
        <v>9</v>
      </c>
      <c r="M68" s="133">
        <v>10</v>
      </c>
      <c r="N68" s="133">
        <v>11</v>
      </c>
      <c r="O68" s="136"/>
      <c r="P68" s="136"/>
      <c r="Q68" s="80"/>
      <c r="R68" s="80"/>
    </row>
    <row r="69" spans="2:18" s="64" customFormat="1" ht="15.75" customHeight="1">
      <c r="B69" s="150"/>
      <c r="C69" s="81"/>
      <c r="D69" s="66"/>
      <c r="E69" s="134"/>
      <c r="F69" s="134"/>
      <c r="G69" s="134"/>
      <c r="H69" s="301" t="s">
        <v>9</v>
      </c>
      <c r="I69" s="301"/>
      <c r="J69" s="301" t="s">
        <v>9</v>
      </c>
      <c r="K69" s="301"/>
      <c r="L69" s="123" t="s">
        <v>9</v>
      </c>
      <c r="M69" s="123" t="s">
        <v>9</v>
      </c>
      <c r="N69" s="123" t="s">
        <v>9</v>
      </c>
      <c r="O69" s="88"/>
      <c r="P69" s="88"/>
      <c r="Q69" s="80"/>
      <c r="R69" s="80"/>
    </row>
    <row r="70" spans="2:18" s="64" customFormat="1" ht="15.75">
      <c r="B70" s="134"/>
      <c r="C70" s="66"/>
      <c r="D70" s="71" t="s">
        <v>23</v>
      </c>
      <c r="E70" s="135" t="s">
        <v>9</v>
      </c>
      <c r="F70" s="135" t="s">
        <v>9</v>
      </c>
      <c r="G70" s="135"/>
      <c r="H70" s="341"/>
      <c r="I70" s="341"/>
      <c r="J70" s="341"/>
      <c r="K70" s="341"/>
      <c r="L70" s="140"/>
      <c r="M70" s="140"/>
      <c r="N70" s="140"/>
      <c r="O70" s="70"/>
      <c r="P70" s="70"/>
      <c r="Q70" s="80"/>
      <c r="R70" s="80"/>
    </row>
    <row r="71" spans="2:18" ht="15" customHeight="1">
      <c r="N71" s="49"/>
    </row>
    <row r="72" spans="2:18" s="64" customFormat="1" ht="24" customHeight="1">
      <c r="B72" s="63"/>
      <c r="C72" s="302" t="s">
        <v>251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  <c r="O72" s="63"/>
      <c r="P72" s="63"/>
    </row>
    <row r="73" spans="2:18" s="64" customFormat="1" ht="5.25" customHeight="1">
      <c r="B73" s="63"/>
      <c r="C73" s="63"/>
      <c r="D73" s="63"/>
      <c r="E73" s="63"/>
      <c r="F73" s="65"/>
      <c r="G73" s="65"/>
      <c r="H73" s="184"/>
      <c r="I73" s="65"/>
      <c r="J73" s="65"/>
      <c r="K73" s="65"/>
      <c r="L73" s="65"/>
      <c r="M73" s="65"/>
      <c r="N73" s="63"/>
      <c r="O73" s="63"/>
      <c r="P73" s="63"/>
    </row>
    <row r="74" spans="2:18" s="64" customFormat="1" ht="21.75" customHeight="1">
      <c r="B74" s="63"/>
      <c r="C74" s="302" t="s">
        <v>259</v>
      </c>
      <c r="D74" s="302"/>
      <c r="E74" s="302"/>
      <c r="F74" s="302"/>
      <c r="G74" s="302"/>
      <c r="H74" s="302"/>
      <c r="I74" s="302"/>
      <c r="J74" s="302"/>
      <c r="K74" s="302"/>
      <c r="L74" s="302"/>
      <c r="M74" s="302"/>
      <c r="N74" s="302"/>
      <c r="O74" s="63"/>
      <c r="P74" s="63"/>
    </row>
    <row r="75" spans="2:18" s="64" customFormat="1" ht="15.75" customHeight="1">
      <c r="B75" s="63"/>
      <c r="C75" s="63"/>
      <c r="D75" s="63"/>
      <c r="E75" s="63"/>
      <c r="F75" s="63"/>
      <c r="G75" s="63"/>
      <c r="H75" s="185"/>
      <c r="I75" s="63"/>
      <c r="J75" s="63"/>
      <c r="K75" s="63"/>
      <c r="L75" s="63"/>
      <c r="M75" s="63"/>
      <c r="N75" s="63"/>
      <c r="O75" s="63"/>
      <c r="P75" s="63"/>
    </row>
    <row r="76" spans="2:18" s="64" customFormat="1" ht="21" customHeight="1">
      <c r="B76" s="307" t="s">
        <v>194</v>
      </c>
      <c r="C76" s="307" t="s">
        <v>2</v>
      </c>
      <c r="D76" s="307" t="s">
        <v>24</v>
      </c>
      <c r="E76" s="343" t="s">
        <v>223</v>
      </c>
      <c r="F76" s="344"/>
      <c r="G76" s="307" t="s">
        <v>224</v>
      </c>
      <c r="H76" s="349" t="s">
        <v>252</v>
      </c>
      <c r="I76" s="307" t="s">
        <v>196</v>
      </c>
      <c r="J76" s="307"/>
      <c r="K76" s="307"/>
      <c r="L76" s="307"/>
      <c r="M76" s="307"/>
      <c r="N76" s="307"/>
      <c r="O76" s="307"/>
      <c r="P76" s="70"/>
      <c r="Q76" s="70"/>
      <c r="R76" s="70"/>
    </row>
    <row r="77" spans="2:18" s="64" customFormat="1" ht="81" customHeight="1">
      <c r="B77" s="307"/>
      <c r="C77" s="307"/>
      <c r="D77" s="307"/>
      <c r="E77" s="345"/>
      <c r="F77" s="346"/>
      <c r="G77" s="307"/>
      <c r="H77" s="350"/>
      <c r="I77" s="307" t="s">
        <v>197</v>
      </c>
      <c r="J77" s="307"/>
      <c r="K77" s="342" t="s">
        <v>198</v>
      </c>
      <c r="L77" s="342"/>
      <c r="M77" s="309" t="s">
        <v>199</v>
      </c>
      <c r="N77" s="309" t="s">
        <v>200</v>
      </c>
      <c r="O77" s="309"/>
      <c r="P77" s="148"/>
      <c r="Q77" s="70"/>
      <c r="R77" s="70"/>
    </row>
    <row r="78" spans="2:18" s="64" customFormat="1" ht="31.5">
      <c r="B78" s="307"/>
      <c r="C78" s="307"/>
      <c r="D78" s="307"/>
      <c r="E78" s="347"/>
      <c r="F78" s="348"/>
      <c r="G78" s="307"/>
      <c r="H78" s="194" t="s">
        <v>242</v>
      </c>
      <c r="I78" s="307"/>
      <c r="J78" s="307"/>
      <c r="K78" s="342"/>
      <c r="L78" s="342"/>
      <c r="M78" s="309"/>
      <c r="N78" s="133" t="s">
        <v>14</v>
      </c>
      <c r="O78" s="133" t="s">
        <v>201</v>
      </c>
      <c r="P78" s="148"/>
      <c r="Q78" s="136"/>
      <c r="R78" s="136"/>
    </row>
    <row r="79" spans="2:18" s="64" customFormat="1" ht="15.75" customHeight="1">
      <c r="B79" s="129">
        <v>1</v>
      </c>
      <c r="C79" s="129">
        <v>2</v>
      </c>
      <c r="D79" s="129">
        <v>3</v>
      </c>
      <c r="E79" s="72">
        <v>4</v>
      </c>
      <c r="F79" s="73"/>
      <c r="G79" s="129">
        <v>5</v>
      </c>
      <c r="H79" s="195">
        <v>7</v>
      </c>
      <c r="I79" s="307">
        <v>8</v>
      </c>
      <c r="J79" s="307"/>
      <c r="K79" s="307">
        <v>9</v>
      </c>
      <c r="L79" s="307"/>
      <c r="M79" s="133">
        <v>10</v>
      </c>
      <c r="N79" s="133">
        <v>11</v>
      </c>
      <c r="O79" s="133">
        <v>12</v>
      </c>
      <c r="P79" s="148"/>
      <c r="Q79" s="136"/>
      <c r="R79" s="136"/>
    </row>
    <row r="80" spans="2:18" s="64" customFormat="1" ht="31.5">
      <c r="B80" s="134">
        <v>851</v>
      </c>
      <c r="C80" s="134" t="s">
        <v>202</v>
      </c>
      <c r="D80" s="67" t="s">
        <v>271</v>
      </c>
      <c r="E80" s="354">
        <f>ROUND((H80*100/G80),0)</f>
        <v>364545</v>
      </c>
      <c r="F80" s="355"/>
      <c r="G80" s="134">
        <v>2.2000000000000002</v>
      </c>
      <c r="H80" s="259">
        <v>8020</v>
      </c>
      <c r="I80" s="296" t="s">
        <v>9</v>
      </c>
      <c r="J80" s="297"/>
      <c r="K80" s="296" t="s">
        <v>9</v>
      </c>
      <c r="L80" s="297"/>
      <c r="M80" s="132" t="s">
        <v>9</v>
      </c>
      <c r="N80" s="134" t="s">
        <v>9</v>
      </c>
      <c r="O80" s="134" t="s">
        <v>9</v>
      </c>
      <c r="Q80" s="64">
        <f>E80*G80%</f>
        <v>8019.9900000000007</v>
      </c>
    </row>
    <row r="81" spans="2:18" s="64" customFormat="1" ht="15.75">
      <c r="B81" s="134">
        <v>851</v>
      </c>
      <c r="C81" s="134" t="s">
        <v>180</v>
      </c>
      <c r="D81" s="67" t="s">
        <v>272</v>
      </c>
      <c r="E81" s="296">
        <v>2605235</v>
      </c>
      <c r="F81" s="297"/>
      <c r="G81" s="134">
        <v>1.5</v>
      </c>
      <c r="H81" s="259">
        <v>10000</v>
      </c>
      <c r="I81" s="296" t="s">
        <v>9</v>
      </c>
      <c r="J81" s="297"/>
      <c r="K81" s="296" t="s">
        <v>9</v>
      </c>
      <c r="L81" s="297"/>
      <c r="M81" s="132" t="s">
        <v>9</v>
      </c>
      <c r="N81" s="134" t="s">
        <v>9</v>
      </c>
      <c r="O81" s="134" t="s">
        <v>9</v>
      </c>
    </row>
    <row r="82" spans="2:18" s="64" customFormat="1" ht="15.75">
      <c r="B82" s="134"/>
      <c r="C82" s="66"/>
      <c r="D82" s="71" t="s">
        <v>23</v>
      </c>
      <c r="E82" s="357" t="s">
        <v>9</v>
      </c>
      <c r="F82" s="358"/>
      <c r="G82" s="135" t="s">
        <v>9</v>
      </c>
      <c r="H82" s="258">
        <f>SUM(H80:H81)</f>
        <v>18020</v>
      </c>
      <c r="I82" s="359">
        <f>H82</f>
        <v>18020</v>
      </c>
      <c r="J82" s="359"/>
      <c r="K82" s="305">
        <v>0</v>
      </c>
      <c r="L82" s="305"/>
      <c r="M82" s="144">
        <v>0</v>
      </c>
      <c r="N82" s="144">
        <v>0</v>
      </c>
      <c r="O82" s="144">
        <v>0</v>
      </c>
      <c r="P82" s="90"/>
      <c r="Q82" s="57" t="s">
        <v>328</v>
      </c>
      <c r="R82" s="69"/>
    </row>
    <row r="83" spans="2:18" ht="15" customHeight="1">
      <c r="O83" s="49"/>
      <c r="P83" s="49"/>
      <c r="Q83" s="49"/>
      <c r="R83" s="49"/>
    </row>
    <row r="84" spans="2:18" s="64" customFormat="1" ht="21" customHeight="1">
      <c r="B84" s="63"/>
      <c r="C84" s="302" t="s">
        <v>260</v>
      </c>
      <c r="D84" s="302"/>
      <c r="E84" s="302"/>
      <c r="F84" s="302"/>
      <c r="G84" s="302"/>
      <c r="H84" s="302"/>
      <c r="I84" s="302"/>
      <c r="J84" s="302"/>
      <c r="K84" s="302"/>
      <c r="L84" s="302"/>
      <c r="M84" s="302"/>
      <c r="N84" s="63"/>
      <c r="O84" s="63"/>
      <c r="P84" s="63"/>
    </row>
    <row r="85" spans="2:18" s="64" customFormat="1" ht="15.75" customHeight="1">
      <c r="B85" s="63"/>
      <c r="C85" s="63"/>
      <c r="D85" s="63"/>
      <c r="E85" s="63"/>
      <c r="F85" s="63"/>
      <c r="G85" s="63"/>
      <c r="H85" s="185"/>
      <c r="I85" s="63"/>
      <c r="J85" s="63"/>
      <c r="K85" s="63"/>
      <c r="L85" s="63"/>
      <c r="M85" s="63"/>
      <c r="N85" s="63"/>
      <c r="O85" s="63"/>
      <c r="P85" s="63"/>
    </row>
    <row r="86" spans="2:18" s="64" customFormat="1" ht="31.5" customHeight="1">
      <c r="B86" s="307" t="s">
        <v>194</v>
      </c>
      <c r="C86" s="307" t="s">
        <v>2</v>
      </c>
      <c r="D86" s="307" t="s">
        <v>24</v>
      </c>
      <c r="E86" s="351" t="s">
        <v>225</v>
      </c>
      <c r="F86" s="307" t="s">
        <v>196</v>
      </c>
      <c r="G86" s="307"/>
      <c r="H86" s="307"/>
      <c r="I86" s="307"/>
      <c r="J86" s="307"/>
      <c r="K86" s="307"/>
      <c r="L86" s="307"/>
      <c r="M86" s="70"/>
      <c r="N86" s="70"/>
      <c r="O86" s="70"/>
      <c r="P86" s="70"/>
    </row>
    <row r="87" spans="2:18" s="64" customFormat="1" ht="99" customHeight="1">
      <c r="B87" s="307"/>
      <c r="C87" s="307"/>
      <c r="D87" s="307"/>
      <c r="E87" s="352"/>
      <c r="F87" s="307" t="s">
        <v>197</v>
      </c>
      <c r="G87" s="307"/>
      <c r="H87" s="342" t="s">
        <v>198</v>
      </c>
      <c r="I87" s="342"/>
      <c r="J87" s="309" t="s">
        <v>199</v>
      </c>
      <c r="K87" s="309" t="s">
        <v>200</v>
      </c>
      <c r="L87" s="309"/>
      <c r="M87" s="70"/>
      <c r="N87" s="356"/>
      <c r="O87" s="356"/>
      <c r="P87" s="136"/>
    </row>
    <row r="88" spans="2:18" s="64" customFormat="1" ht="31.5">
      <c r="B88" s="307"/>
      <c r="C88" s="307"/>
      <c r="D88" s="307"/>
      <c r="E88" s="353"/>
      <c r="F88" s="307"/>
      <c r="G88" s="307"/>
      <c r="H88" s="342"/>
      <c r="I88" s="342"/>
      <c r="J88" s="309"/>
      <c r="K88" s="147" t="s">
        <v>14</v>
      </c>
      <c r="L88" s="133" t="s">
        <v>201</v>
      </c>
      <c r="M88" s="70"/>
      <c r="N88" s="136"/>
      <c r="O88" s="136"/>
      <c r="P88" s="136"/>
    </row>
    <row r="89" spans="2:18" s="64" customFormat="1" ht="15.75" customHeight="1">
      <c r="B89" s="129">
        <v>1</v>
      </c>
      <c r="C89" s="129">
        <v>2</v>
      </c>
      <c r="D89" s="129">
        <v>3</v>
      </c>
      <c r="E89" s="129">
        <v>4</v>
      </c>
      <c r="F89" s="307">
        <v>5</v>
      </c>
      <c r="G89" s="307"/>
      <c r="H89" s="307">
        <v>6</v>
      </c>
      <c r="I89" s="307"/>
      <c r="J89" s="133">
        <v>7</v>
      </c>
      <c r="K89" s="147">
        <v>8</v>
      </c>
      <c r="L89" s="133">
        <v>9</v>
      </c>
      <c r="M89" s="70"/>
      <c r="N89" s="136"/>
      <c r="O89" s="136"/>
      <c r="P89" s="136"/>
    </row>
    <row r="90" spans="2:18" s="64" customFormat="1" ht="15.75">
      <c r="B90" s="106"/>
      <c r="C90" s="137"/>
      <c r="D90" s="67"/>
      <c r="E90" s="137"/>
      <c r="F90" s="360" t="s">
        <v>9</v>
      </c>
      <c r="G90" s="360"/>
      <c r="H90" s="360" t="s">
        <v>9</v>
      </c>
      <c r="I90" s="360"/>
      <c r="J90" s="123" t="s">
        <v>9</v>
      </c>
      <c r="K90" s="95" t="s">
        <v>9</v>
      </c>
      <c r="L90" s="123" t="s">
        <v>9</v>
      </c>
      <c r="M90" s="70"/>
      <c r="N90" s="88"/>
      <c r="O90" s="88"/>
      <c r="P90" s="88"/>
    </row>
    <row r="91" spans="2:18" s="64" customFormat="1" ht="15.75" customHeight="1">
      <c r="B91" s="106"/>
      <c r="C91" s="82"/>
      <c r="D91" s="71" t="s">
        <v>23</v>
      </c>
      <c r="E91" s="138">
        <f>SUM(E90)</f>
        <v>0</v>
      </c>
      <c r="F91" s="361">
        <f>E91</f>
        <v>0</v>
      </c>
      <c r="G91" s="362"/>
      <c r="H91" s="363">
        <v>0</v>
      </c>
      <c r="I91" s="363"/>
      <c r="J91" s="144">
        <v>0</v>
      </c>
      <c r="K91" s="141">
        <v>0</v>
      </c>
      <c r="L91" s="144">
        <v>0</v>
      </c>
      <c r="M91" s="70"/>
      <c r="N91" s="70"/>
      <c r="O91" s="70"/>
      <c r="P91" s="70"/>
      <c r="Q91" s="57" t="s">
        <v>329</v>
      </c>
    </row>
    <row r="92" spans="2:18" s="64" customFormat="1" ht="15.75">
      <c r="B92" s="63"/>
      <c r="C92" s="63"/>
      <c r="D92" s="63"/>
      <c r="E92" s="63"/>
      <c r="F92" s="63"/>
      <c r="G92" s="63"/>
      <c r="H92" s="185"/>
      <c r="I92" s="63"/>
      <c r="J92" s="63"/>
      <c r="K92" s="63"/>
      <c r="L92" s="63"/>
      <c r="M92" s="63"/>
      <c r="N92" s="63"/>
      <c r="O92" s="63"/>
      <c r="P92" s="63"/>
    </row>
    <row r="93" spans="2:18" s="64" customFormat="1" ht="15.75" customHeight="1">
      <c r="B93" s="63"/>
      <c r="C93" s="364" t="s">
        <v>261</v>
      </c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63"/>
      <c r="O93" s="63"/>
      <c r="P93" s="63"/>
    </row>
    <row r="94" spans="2:18" s="64" customFormat="1" ht="15.75">
      <c r="B94" s="63"/>
      <c r="C94" s="63"/>
      <c r="D94" s="63"/>
      <c r="E94" s="63"/>
      <c r="F94" s="63"/>
      <c r="G94" s="63"/>
      <c r="H94" s="185"/>
      <c r="I94" s="63"/>
      <c r="J94" s="63"/>
      <c r="K94" s="63"/>
      <c r="L94" s="63"/>
      <c r="M94" s="63"/>
      <c r="N94" s="63"/>
      <c r="O94" s="63"/>
      <c r="P94" s="63"/>
    </row>
    <row r="95" spans="2:18" s="64" customFormat="1" ht="31.5" customHeight="1">
      <c r="B95" s="307" t="s">
        <v>194</v>
      </c>
      <c r="C95" s="307" t="s">
        <v>2</v>
      </c>
      <c r="D95" s="365" t="s">
        <v>24</v>
      </c>
      <c r="E95" s="351" t="s">
        <v>225</v>
      </c>
      <c r="F95" s="307" t="s">
        <v>196</v>
      </c>
      <c r="G95" s="307"/>
      <c r="H95" s="307"/>
      <c r="I95" s="307"/>
      <c r="J95" s="307"/>
      <c r="K95" s="307"/>
      <c r="L95" s="307"/>
      <c r="M95" s="70"/>
      <c r="N95" s="70"/>
      <c r="O95" s="70"/>
      <c r="P95" s="70"/>
    </row>
    <row r="96" spans="2:18" s="64" customFormat="1" ht="99" customHeight="1">
      <c r="B96" s="307"/>
      <c r="C96" s="307"/>
      <c r="D96" s="365"/>
      <c r="E96" s="352"/>
      <c r="F96" s="307" t="s">
        <v>197</v>
      </c>
      <c r="G96" s="307"/>
      <c r="H96" s="342" t="s">
        <v>198</v>
      </c>
      <c r="I96" s="342"/>
      <c r="J96" s="309" t="s">
        <v>199</v>
      </c>
      <c r="K96" s="309" t="s">
        <v>200</v>
      </c>
      <c r="L96" s="309"/>
      <c r="M96" s="70"/>
      <c r="N96" s="356"/>
      <c r="O96" s="356"/>
      <c r="P96" s="136"/>
    </row>
    <row r="97" spans="2:20" s="64" customFormat="1" ht="31.5" customHeight="1">
      <c r="B97" s="307"/>
      <c r="C97" s="307"/>
      <c r="D97" s="365"/>
      <c r="E97" s="353"/>
      <c r="F97" s="307"/>
      <c r="G97" s="307"/>
      <c r="H97" s="342"/>
      <c r="I97" s="342"/>
      <c r="J97" s="309"/>
      <c r="K97" s="147" t="s">
        <v>14</v>
      </c>
      <c r="L97" s="133" t="s">
        <v>201</v>
      </c>
      <c r="M97" s="70"/>
      <c r="N97" s="136"/>
      <c r="O97" s="136"/>
      <c r="P97" s="136"/>
      <c r="Q97" s="57" t="s">
        <v>330</v>
      </c>
      <c r="S97" s="64" t="s">
        <v>373</v>
      </c>
      <c r="T97" s="64">
        <v>0</v>
      </c>
    </row>
    <row r="98" spans="2:20" s="64" customFormat="1" ht="15.75">
      <c r="B98" s="129">
        <v>1</v>
      </c>
      <c r="C98" s="129">
        <v>2</v>
      </c>
      <c r="D98" s="246">
        <v>3</v>
      </c>
      <c r="E98" s="129">
        <v>4</v>
      </c>
      <c r="F98" s="307">
        <v>5</v>
      </c>
      <c r="G98" s="307"/>
      <c r="H98" s="307">
        <v>6</v>
      </c>
      <c r="I98" s="307"/>
      <c r="J98" s="133">
        <v>7</v>
      </c>
      <c r="K98" s="147">
        <v>8</v>
      </c>
      <c r="L98" s="133">
        <v>9</v>
      </c>
      <c r="M98" s="70"/>
      <c r="N98" s="136"/>
      <c r="O98" s="136"/>
      <c r="P98" s="136"/>
    </row>
    <row r="99" spans="2:20" s="64" customFormat="1" ht="15.75">
      <c r="B99" s="235">
        <v>853</v>
      </c>
      <c r="C99" s="235">
        <v>1</v>
      </c>
      <c r="D99" s="246"/>
      <c r="E99" s="235">
        <v>0</v>
      </c>
      <c r="F99" s="366" t="s">
        <v>346</v>
      </c>
      <c r="G99" s="367"/>
      <c r="H99" s="366" t="s">
        <v>346</v>
      </c>
      <c r="I99" s="367"/>
      <c r="J99" s="234" t="s">
        <v>346</v>
      </c>
      <c r="K99" s="236" t="s">
        <v>346</v>
      </c>
      <c r="L99" s="234" t="s">
        <v>346</v>
      </c>
      <c r="M99" s="70"/>
      <c r="N99" s="237"/>
      <c r="O99" s="237"/>
      <c r="P99" s="237"/>
      <c r="S99" s="64" t="s">
        <v>374</v>
      </c>
      <c r="T99" s="64">
        <v>0</v>
      </c>
    </row>
    <row r="100" spans="2:20" s="64" customFormat="1" ht="34.5" hidden="1" customHeight="1">
      <c r="B100" s="134">
        <v>853</v>
      </c>
      <c r="C100" s="134">
        <v>2</v>
      </c>
      <c r="D100" s="103"/>
      <c r="E100" s="130">
        <v>0</v>
      </c>
      <c r="F100" s="360" t="s">
        <v>9</v>
      </c>
      <c r="G100" s="360"/>
      <c r="H100" s="360" t="s">
        <v>9</v>
      </c>
      <c r="I100" s="360"/>
      <c r="J100" s="123" t="s">
        <v>9</v>
      </c>
      <c r="K100" s="95" t="s">
        <v>9</v>
      </c>
      <c r="L100" s="123" t="s">
        <v>9</v>
      </c>
      <c r="M100" s="70"/>
      <c r="N100" s="88"/>
      <c r="O100" s="88"/>
      <c r="P100" s="88"/>
      <c r="Q100" s="57" t="s">
        <v>303</v>
      </c>
      <c r="R100" s="57"/>
      <c r="S100" s="113" t="s">
        <v>375</v>
      </c>
      <c r="T100" s="64">
        <f>SUM(T97:T99)</f>
        <v>0</v>
      </c>
    </row>
    <row r="101" spans="2:20" s="64" customFormat="1" ht="15.75">
      <c r="B101" s="134"/>
      <c r="C101" s="82"/>
      <c r="D101" s="71" t="s">
        <v>23</v>
      </c>
      <c r="E101" s="138">
        <f>SUM(E99:E100)</f>
        <v>0</v>
      </c>
      <c r="F101" s="361">
        <v>0</v>
      </c>
      <c r="G101" s="362"/>
      <c r="H101" s="363">
        <v>0</v>
      </c>
      <c r="I101" s="363"/>
      <c r="J101" s="144">
        <v>0</v>
      </c>
      <c r="K101" s="141">
        <v>0</v>
      </c>
      <c r="L101" s="144">
        <v>0</v>
      </c>
      <c r="M101" s="70"/>
      <c r="N101" s="70"/>
      <c r="O101" s="70"/>
      <c r="P101" s="70"/>
    </row>
    <row r="102" spans="2:20" ht="15" customHeight="1">
      <c r="L102" s="49"/>
      <c r="Q102" t="b">
        <f>E101=T100</f>
        <v>1</v>
      </c>
    </row>
    <row r="103" spans="2:20" ht="24.75" customHeight="1">
      <c r="B103" s="2"/>
      <c r="C103" s="312" t="s">
        <v>289</v>
      </c>
      <c r="D103" s="312"/>
      <c r="E103" s="312"/>
      <c r="F103" s="312"/>
      <c r="G103" s="312"/>
      <c r="H103" s="312"/>
      <c r="I103" s="312"/>
      <c r="J103" s="312"/>
      <c r="K103" s="312"/>
      <c r="L103" s="312"/>
      <c r="M103" s="312"/>
      <c r="N103" s="2"/>
      <c r="O103" s="2"/>
    </row>
    <row r="104" spans="2:20" ht="7.5" customHeight="1">
      <c r="B104" s="2"/>
      <c r="C104" s="2"/>
      <c r="D104" s="2"/>
      <c r="E104" s="51"/>
      <c r="F104" s="51"/>
      <c r="G104" s="51"/>
      <c r="H104" s="184"/>
      <c r="I104" s="51"/>
      <c r="J104" s="51"/>
      <c r="K104" s="65"/>
      <c r="L104" s="51"/>
      <c r="M104" s="51"/>
      <c r="N104" s="2"/>
      <c r="O104" s="2"/>
    </row>
    <row r="105" spans="2:20" s="64" customFormat="1" ht="23.25" customHeight="1">
      <c r="B105" s="63"/>
      <c r="C105" s="302" t="s">
        <v>290</v>
      </c>
      <c r="D105" s="302"/>
      <c r="E105" s="302"/>
      <c r="F105" s="302"/>
      <c r="G105" s="302"/>
      <c r="H105" s="302"/>
      <c r="I105" s="302"/>
      <c r="J105" s="302"/>
      <c r="K105" s="302"/>
      <c r="L105" s="302"/>
      <c r="M105" s="302"/>
      <c r="N105" s="63"/>
      <c r="O105" s="63"/>
    </row>
    <row r="106" spans="2:20" s="64" customFormat="1" ht="15.75">
      <c r="B106" s="63"/>
      <c r="C106" s="63"/>
      <c r="D106" s="63"/>
      <c r="E106" s="63"/>
      <c r="F106" s="63"/>
      <c r="G106" s="63"/>
      <c r="H106" s="185"/>
      <c r="I106" s="63"/>
      <c r="J106" s="63"/>
      <c r="K106" s="63"/>
      <c r="L106" s="63"/>
      <c r="M106" s="63"/>
      <c r="N106" s="63"/>
      <c r="O106" s="63"/>
    </row>
    <row r="107" spans="2:20" s="64" customFormat="1" ht="31.5" customHeight="1">
      <c r="B107" s="307" t="s">
        <v>194</v>
      </c>
      <c r="C107" s="307" t="s">
        <v>2</v>
      </c>
      <c r="D107" s="307" t="s">
        <v>3</v>
      </c>
      <c r="E107" s="307" t="s">
        <v>226</v>
      </c>
      <c r="F107" s="307" t="s">
        <v>227</v>
      </c>
      <c r="G107" s="154" t="s">
        <v>228</v>
      </c>
      <c r="H107" s="307" t="s">
        <v>196</v>
      </c>
      <c r="I107" s="307"/>
      <c r="J107" s="307"/>
      <c r="K107" s="307"/>
      <c r="L107" s="307"/>
      <c r="M107" s="307"/>
      <c r="N107" s="307"/>
      <c r="O107" s="307"/>
    </row>
    <row r="108" spans="2:20" s="64" customFormat="1" ht="99" customHeight="1">
      <c r="B108" s="307"/>
      <c r="C108" s="307"/>
      <c r="D108" s="307"/>
      <c r="E108" s="307"/>
      <c r="F108" s="307"/>
      <c r="G108" s="307" t="s">
        <v>242</v>
      </c>
      <c r="H108" s="307" t="s">
        <v>197</v>
      </c>
      <c r="I108" s="307"/>
      <c r="J108" s="342" t="s">
        <v>198</v>
      </c>
      <c r="K108" s="342"/>
      <c r="L108" s="307" t="s">
        <v>199</v>
      </c>
      <c r="M108" s="307"/>
      <c r="N108" s="307" t="s">
        <v>200</v>
      </c>
      <c r="O108" s="307"/>
    </row>
    <row r="109" spans="2:20" s="64" customFormat="1" ht="31.5">
      <c r="B109" s="307"/>
      <c r="C109" s="307"/>
      <c r="D109" s="307"/>
      <c r="E109" s="307"/>
      <c r="F109" s="307"/>
      <c r="G109" s="307"/>
      <c r="H109" s="307"/>
      <c r="I109" s="307"/>
      <c r="J109" s="342"/>
      <c r="K109" s="342"/>
      <c r="L109" s="307"/>
      <c r="M109" s="307"/>
      <c r="N109" s="154" t="s">
        <v>14</v>
      </c>
      <c r="O109" s="154" t="s">
        <v>201</v>
      </c>
    </row>
    <row r="110" spans="2:20" s="64" customFormat="1" ht="15.75">
      <c r="B110" s="154">
        <v>1</v>
      </c>
      <c r="C110" s="154">
        <v>2</v>
      </c>
      <c r="D110" s="154">
        <v>3</v>
      </c>
      <c r="E110" s="154">
        <v>4</v>
      </c>
      <c r="F110" s="154">
        <v>5</v>
      </c>
      <c r="G110" s="154">
        <v>6</v>
      </c>
      <c r="H110" s="307">
        <v>7</v>
      </c>
      <c r="I110" s="307"/>
      <c r="J110" s="307">
        <v>8</v>
      </c>
      <c r="K110" s="307"/>
      <c r="L110" s="307">
        <v>9</v>
      </c>
      <c r="M110" s="307"/>
      <c r="N110" s="154">
        <v>10</v>
      </c>
      <c r="O110" s="154">
        <v>11</v>
      </c>
    </row>
    <row r="111" spans="2:20" s="64" customFormat="1" ht="15.75">
      <c r="B111" s="66"/>
      <c r="C111" s="158" t="s">
        <v>202</v>
      </c>
      <c r="D111" s="67"/>
      <c r="E111" s="158"/>
      <c r="F111" s="158"/>
      <c r="G111" s="66"/>
      <c r="H111" s="368" t="s">
        <v>9</v>
      </c>
      <c r="I111" s="369"/>
      <c r="J111" s="368" t="s">
        <v>9</v>
      </c>
      <c r="K111" s="369"/>
      <c r="L111" s="368" t="s">
        <v>9</v>
      </c>
      <c r="M111" s="369"/>
      <c r="N111" s="158" t="s">
        <v>9</v>
      </c>
      <c r="O111" s="158" t="s">
        <v>9</v>
      </c>
    </row>
    <row r="112" spans="2:20" s="64" customFormat="1" ht="15.75">
      <c r="B112" s="66"/>
      <c r="C112" s="158"/>
      <c r="D112" s="71" t="s">
        <v>23</v>
      </c>
      <c r="E112" s="159" t="s">
        <v>9</v>
      </c>
      <c r="F112" s="159" t="s">
        <v>9</v>
      </c>
      <c r="G112" s="160">
        <f>SUM(G111)</f>
        <v>0</v>
      </c>
      <c r="H112" s="363">
        <v>0</v>
      </c>
      <c r="I112" s="363"/>
      <c r="J112" s="363">
        <v>0</v>
      </c>
      <c r="K112" s="363"/>
      <c r="L112" s="363">
        <v>0</v>
      </c>
      <c r="M112" s="363"/>
      <c r="N112" s="160">
        <v>0</v>
      </c>
      <c r="O112" s="160">
        <v>0</v>
      </c>
    </row>
    <row r="113" spans="2:18" s="64" customFormat="1" ht="15.75">
      <c r="B113" s="63"/>
      <c r="C113" s="63"/>
      <c r="D113" s="63"/>
      <c r="E113" s="63"/>
      <c r="F113" s="63"/>
      <c r="G113" s="63"/>
      <c r="H113" s="185"/>
      <c r="I113" s="63"/>
      <c r="J113" s="63"/>
      <c r="K113" s="63"/>
      <c r="L113" s="63"/>
      <c r="M113" s="63"/>
      <c r="N113" s="63"/>
      <c r="O113" s="63"/>
    </row>
    <row r="114" spans="2:18" s="64" customFormat="1" ht="43.5" customHeight="1">
      <c r="B114" s="63"/>
      <c r="C114" s="302" t="s">
        <v>291</v>
      </c>
      <c r="D114" s="302"/>
      <c r="E114" s="302"/>
      <c r="F114" s="302"/>
      <c r="G114" s="302"/>
      <c r="H114" s="302"/>
      <c r="I114" s="302"/>
      <c r="J114" s="302"/>
      <c r="K114" s="302"/>
      <c r="L114" s="302"/>
      <c r="M114" s="302"/>
      <c r="N114" s="63"/>
      <c r="O114" s="63"/>
    </row>
    <row r="115" spans="2:18" s="64" customFormat="1" ht="17.25" customHeight="1">
      <c r="B115" s="63"/>
      <c r="C115" s="63"/>
      <c r="D115" s="63"/>
      <c r="E115" s="155"/>
      <c r="F115" s="161"/>
      <c r="G115" s="161"/>
      <c r="H115" s="196"/>
      <c r="I115" s="161"/>
      <c r="J115" s="161"/>
      <c r="K115" s="161"/>
      <c r="L115" s="161"/>
      <c r="M115" s="161"/>
      <c r="N115" s="63"/>
      <c r="O115" s="63"/>
    </row>
    <row r="116" spans="2:18" s="64" customFormat="1" ht="63" customHeight="1">
      <c r="B116" s="307" t="s">
        <v>194</v>
      </c>
      <c r="C116" s="307" t="s">
        <v>2</v>
      </c>
      <c r="D116" s="307" t="s">
        <v>3</v>
      </c>
      <c r="E116" s="307" t="s">
        <v>220</v>
      </c>
      <c r="F116" s="307" t="s">
        <v>34</v>
      </c>
      <c r="G116" s="154" t="s">
        <v>222</v>
      </c>
      <c r="H116" s="307" t="s">
        <v>196</v>
      </c>
      <c r="I116" s="307"/>
      <c r="J116" s="307"/>
      <c r="K116" s="307"/>
      <c r="L116" s="307"/>
      <c r="M116" s="307"/>
      <c r="N116" s="307"/>
      <c r="O116" s="307"/>
    </row>
    <row r="117" spans="2:18" s="64" customFormat="1" ht="99" customHeight="1">
      <c r="B117" s="307"/>
      <c r="C117" s="307"/>
      <c r="D117" s="307"/>
      <c r="E117" s="307"/>
      <c r="F117" s="307"/>
      <c r="G117" s="307" t="s">
        <v>242</v>
      </c>
      <c r="H117" s="307" t="s">
        <v>197</v>
      </c>
      <c r="I117" s="307"/>
      <c r="J117" s="342" t="s">
        <v>198</v>
      </c>
      <c r="K117" s="342"/>
      <c r="L117" s="307" t="s">
        <v>199</v>
      </c>
      <c r="M117" s="307"/>
      <c r="N117" s="307" t="s">
        <v>200</v>
      </c>
      <c r="O117" s="307"/>
    </row>
    <row r="118" spans="2:18" s="64" customFormat="1" ht="31.5">
      <c r="B118" s="307"/>
      <c r="C118" s="307"/>
      <c r="D118" s="307"/>
      <c r="E118" s="307"/>
      <c r="F118" s="307"/>
      <c r="G118" s="307"/>
      <c r="H118" s="307"/>
      <c r="I118" s="307"/>
      <c r="J118" s="342"/>
      <c r="K118" s="342"/>
      <c r="L118" s="307"/>
      <c r="M118" s="307"/>
      <c r="N118" s="154" t="s">
        <v>14</v>
      </c>
      <c r="O118" s="154" t="s">
        <v>201</v>
      </c>
    </row>
    <row r="119" spans="2:18" s="64" customFormat="1" ht="15.75">
      <c r="B119" s="154">
        <v>1</v>
      </c>
      <c r="C119" s="154">
        <v>2</v>
      </c>
      <c r="D119" s="154">
        <v>3</v>
      </c>
      <c r="E119" s="154">
        <v>4</v>
      </c>
      <c r="F119" s="154">
        <v>5</v>
      </c>
      <c r="G119" s="154">
        <v>6</v>
      </c>
      <c r="H119" s="307">
        <v>7</v>
      </c>
      <c r="I119" s="307"/>
      <c r="J119" s="307">
        <v>8</v>
      </c>
      <c r="K119" s="307"/>
      <c r="L119" s="307">
        <v>9</v>
      </c>
      <c r="M119" s="307"/>
      <c r="N119" s="154">
        <v>10</v>
      </c>
      <c r="O119" s="154">
        <v>11</v>
      </c>
    </row>
    <row r="120" spans="2:18" s="64" customFormat="1" ht="18" customHeight="1">
      <c r="B120" s="66"/>
      <c r="C120" s="157" t="s">
        <v>202</v>
      </c>
      <c r="D120" s="66"/>
      <c r="E120" s="67"/>
      <c r="F120" s="67"/>
      <c r="G120" s="67"/>
      <c r="H120" s="360" t="s">
        <v>9</v>
      </c>
      <c r="I120" s="360"/>
      <c r="J120" s="360" t="s">
        <v>9</v>
      </c>
      <c r="K120" s="360"/>
      <c r="L120" s="360" t="s">
        <v>9</v>
      </c>
      <c r="M120" s="360"/>
      <c r="N120" s="158" t="s">
        <v>9</v>
      </c>
      <c r="O120" s="158" t="s">
        <v>9</v>
      </c>
    </row>
    <row r="121" spans="2:18" s="64" customFormat="1" ht="15.75">
      <c r="B121" s="66"/>
      <c r="C121" s="158"/>
      <c r="D121" s="71" t="s">
        <v>23</v>
      </c>
      <c r="E121" s="159" t="s">
        <v>9</v>
      </c>
      <c r="F121" s="159" t="s">
        <v>9</v>
      </c>
      <c r="G121" s="160">
        <f>SUM(G120)</f>
        <v>0</v>
      </c>
      <c r="H121" s="363">
        <v>0</v>
      </c>
      <c r="I121" s="363"/>
      <c r="J121" s="363">
        <v>0</v>
      </c>
      <c r="K121" s="363"/>
      <c r="L121" s="363">
        <v>0</v>
      </c>
      <c r="M121" s="363"/>
      <c r="N121" s="160">
        <v>0</v>
      </c>
      <c r="O121" s="160">
        <v>0</v>
      </c>
    </row>
    <row r="122" spans="2:18" ht="33" customHeight="1">
      <c r="B122" s="2"/>
      <c r="C122" s="2"/>
      <c r="D122" s="2"/>
      <c r="E122" s="311" t="s">
        <v>292</v>
      </c>
      <c r="F122" s="283"/>
      <c r="G122" s="283"/>
      <c r="H122" s="283"/>
      <c r="I122" s="283"/>
      <c r="J122" s="283"/>
      <c r="K122" s="283"/>
      <c r="L122" s="283"/>
      <c r="M122" s="283"/>
      <c r="N122" s="2"/>
      <c r="O122" s="2"/>
      <c r="P122" s="2"/>
    </row>
    <row r="123" spans="2:18" ht="15.75" customHeight="1">
      <c r="B123" s="2"/>
      <c r="C123" s="2"/>
      <c r="D123" s="2"/>
      <c r="E123" s="2"/>
      <c r="F123" s="2"/>
      <c r="G123" s="2"/>
      <c r="H123" s="185"/>
      <c r="I123" s="2"/>
      <c r="J123" s="2"/>
      <c r="K123" s="63"/>
      <c r="L123" s="2"/>
      <c r="M123" s="2"/>
      <c r="N123" s="2"/>
      <c r="O123" s="2"/>
      <c r="P123" s="2"/>
    </row>
    <row r="124" spans="2:18" s="64" customFormat="1" ht="15.75">
      <c r="B124" s="63"/>
      <c r="C124" s="63"/>
      <c r="D124" s="63"/>
      <c r="E124" s="364" t="s">
        <v>293</v>
      </c>
      <c r="F124" s="364"/>
      <c r="G124" s="364"/>
      <c r="H124" s="364"/>
      <c r="I124" s="364"/>
      <c r="J124" s="364"/>
      <c r="K124" s="364"/>
      <c r="L124" s="364"/>
      <c r="M124" s="364"/>
      <c r="N124" s="63"/>
      <c r="O124" s="63"/>
      <c r="P124" s="63"/>
    </row>
    <row r="125" spans="2:18" s="64" customFormat="1" ht="15.75" customHeight="1">
      <c r="B125" s="63"/>
      <c r="C125" s="63"/>
      <c r="D125" s="63"/>
      <c r="E125" s="63"/>
      <c r="F125" s="63"/>
      <c r="G125" s="63"/>
      <c r="H125" s="185"/>
      <c r="I125" s="63"/>
      <c r="J125" s="63"/>
      <c r="K125" s="63"/>
      <c r="L125" s="63"/>
      <c r="M125" s="63"/>
      <c r="N125" s="63"/>
      <c r="O125" s="63"/>
      <c r="P125" s="63"/>
    </row>
    <row r="126" spans="2:18" s="64" customFormat="1" ht="31.5" customHeight="1">
      <c r="B126" s="307" t="s">
        <v>194</v>
      </c>
      <c r="C126" s="307" t="s">
        <v>2</v>
      </c>
      <c r="D126" s="307" t="s">
        <v>24</v>
      </c>
      <c r="E126" s="307" t="s">
        <v>229</v>
      </c>
      <c r="F126" s="307" t="s">
        <v>230</v>
      </c>
      <c r="G126" s="307" t="s">
        <v>231</v>
      </c>
      <c r="H126" s="197" t="s">
        <v>211</v>
      </c>
      <c r="I126" s="307" t="s">
        <v>196</v>
      </c>
      <c r="J126" s="307"/>
      <c r="K126" s="307"/>
      <c r="L126" s="307"/>
      <c r="M126" s="307"/>
      <c r="N126" s="307"/>
      <c r="O126" s="307"/>
      <c r="P126" s="70"/>
      <c r="Q126" s="70"/>
      <c r="R126" s="70"/>
    </row>
    <row r="127" spans="2:18" s="64" customFormat="1" ht="93.75" customHeight="1">
      <c r="B127" s="307"/>
      <c r="C127" s="307"/>
      <c r="D127" s="307"/>
      <c r="E127" s="307"/>
      <c r="F127" s="307"/>
      <c r="G127" s="307"/>
      <c r="H127" s="370" t="s">
        <v>247</v>
      </c>
      <c r="I127" s="307" t="s">
        <v>197</v>
      </c>
      <c r="J127" s="307"/>
      <c r="K127" s="342" t="s">
        <v>198</v>
      </c>
      <c r="L127" s="342"/>
      <c r="M127" s="309" t="s">
        <v>199</v>
      </c>
      <c r="N127" s="309" t="s">
        <v>200</v>
      </c>
      <c r="O127" s="309"/>
      <c r="P127" s="148"/>
      <c r="Q127" s="70"/>
      <c r="R127" s="70"/>
    </row>
    <row r="128" spans="2:18" s="64" customFormat="1" ht="39" customHeight="1">
      <c r="B128" s="307"/>
      <c r="C128" s="307"/>
      <c r="D128" s="307"/>
      <c r="E128" s="307"/>
      <c r="F128" s="307"/>
      <c r="G128" s="307"/>
      <c r="H128" s="370"/>
      <c r="I128" s="307"/>
      <c r="J128" s="307"/>
      <c r="K128" s="342"/>
      <c r="L128" s="342"/>
      <c r="M128" s="309"/>
      <c r="N128" s="133" t="s">
        <v>14</v>
      </c>
      <c r="O128" s="133" t="s">
        <v>201</v>
      </c>
      <c r="P128" s="148"/>
      <c r="Q128" s="136"/>
      <c r="R128" s="136"/>
    </row>
    <row r="129" spans="2:18" s="64" customFormat="1" ht="15.75" customHeight="1">
      <c r="B129" s="129">
        <v>1</v>
      </c>
      <c r="C129" s="129">
        <v>2</v>
      </c>
      <c r="D129" s="129">
        <v>3</v>
      </c>
      <c r="E129" s="129">
        <v>4</v>
      </c>
      <c r="F129" s="129">
        <v>5</v>
      </c>
      <c r="G129" s="129">
        <v>6</v>
      </c>
      <c r="H129" s="197">
        <v>7</v>
      </c>
      <c r="I129" s="307">
        <v>8</v>
      </c>
      <c r="J129" s="307"/>
      <c r="K129" s="307">
        <v>9</v>
      </c>
      <c r="L129" s="307"/>
      <c r="M129" s="133">
        <v>10</v>
      </c>
      <c r="N129" s="133">
        <v>11</v>
      </c>
      <c r="O129" s="133">
        <v>12</v>
      </c>
      <c r="P129" s="136"/>
      <c r="Q129" s="136"/>
      <c r="R129" s="136"/>
    </row>
    <row r="130" spans="2:18" s="64" customFormat="1" ht="31.5">
      <c r="B130" s="134">
        <v>244</v>
      </c>
      <c r="C130" s="134" t="s">
        <v>202</v>
      </c>
      <c r="D130" s="67" t="s">
        <v>245</v>
      </c>
      <c r="E130" s="134">
        <v>1</v>
      </c>
      <c r="F130" s="134">
        <v>12</v>
      </c>
      <c r="G130" s="134">
        <f>ROUND((H130/E130/F130),1)</f>
        <v>608.29999999999995</v>
      </c>
      <c r="H130" s="198">
        <v>7300</v>
      </c>
      <c r="I130" s="301" t="s">
        <v>9</v>
      </c>
      <c r="J130" s="301"/>
      <c r="K130" s="301" t="s">
        <v>9</v>
      </c>
      <c r="L130" s="301"/>
      <c r="M130" s="123" t="s">
        <v>9</v>
      </c>
      <c r="N130" s="123" t="s">
        <v>9</v>
      </c>
      <c r="O130" s="123" t="s">
        <v>9</v>
      </c>
      <c r="P130" s="68"/>
      <c r="Q130" s="68"/>
      <c r="R130" s="68"/>
    </row>
    <row r="131" spans="2:18" s="64" customFormat="1" ht="82.5" customHeight="1">
      <c r="B131" s="134">
        <v>244</v>
      </c>
      <c r="C131" s="134" t="s">
        <v>180</v>
      </c>
      <c r="D131" s="67" t="s">
        <v>246</v>
      </c>
      <c r="E131" s="134">
        <v>1</v>
      </c>
      <c r="F131" s="134">
        <v>12</v>
      </c>
      <c r="G131" s="134">
        <f>ROUND((H131/E131/F131),1)</f>
        <v>10916.7</v>
      </c>
      <c r="H131" s="198">
        <v>131000</v>
      </c>
      <c r="I131" s="301" t="s">
        <v>9</v>
      </c>
      <c r="J131" s="301"/>
      <c r="K131" s="301" t="s">
        <v>9</v>
      </c>
      <c r="L131" s="301"/>
      <c r="M131" s="123" t="s">
        <v>9</v>
      </c>
      <c r="N131" s="123" t="s">
        <v>9</v>
      </c>
      <c r="O131" s="123" t="s">
        <v>9</v>
      </c>
      <c r="P131" s="68"/>
      <c r="Q131" s="68"/>
      <c r="R131" s="68"/>
    </row>
    <row r="132" spans="2:18" s="58" customFormat="1" ht="15.75">
      <c r="B132" s="106"/>
      <c r="C132" s="135"/>
      <c r="D132" s="71" t="s">
        <v>23</v>
      </c>
      <c r="E132" s="135" t="s">
        <v>9</v>
      </c>
      <c r="F132" s="135" t="s">
        <v>9</v>
      </c>
      <c r="G132" s="135" t="s">
        <v>9</v>
      </c>
      <c r="H132" s="199">
        <f>SUM(H130:H131)</f>
        <v>138300</v>
      </c>
      <c r="I132" s="305">
        <f>H132</f>
        <v>138300</v>
      </c>
      <c r="J132" s="341"/>
      <c r="K132" s="305">
        <v>0</v>
      </c>
      <c r="L132" s="305"/>
      <c r="M132" s="144">
        <v>0</v>
      </c>
      <c r="N132" s="144">
        <v>0</v>
      </c>
      <c r="O132" s="144">
        <v>0</v>
      </c>
      <c r="P132" s="57"/>
      <c r="Q132" s="57" t="s">
        <v>304</v>
      </c>
      <c r="R132" s="57"/>
    </row>
    <row r="133" spans="2:18" ht="15" customHeight="1">
      <c r="B133" s="2"/>
      <c r="C133" s="2"/>
      <c r="D133" s="2"/>
      <c r="E133" s="2"/>
      <c r="F133" s="2"/>
      <c r="G133" s="2"/>
      <c r="H133" s="185"/>
      <c r="I133" s="2"/>
      <c r="J133" s="2"/>
      <c r="K133" s="63"/>
      <c r="L133" s="2"/>
      <c r="M133" s="2"/>
      <c r="N133" s="2"/>
      <c r="O133" s="2"/>
      <c r="P133" s="2"/>
    </row>
    <row r="134" spans="2:18" s="64" customFormat="1" ht="23.25" customHeight="1">
      <c r="B134" s="63"/>
      <c r="C134" s="63"/>
      <c r="D134" s="63"/>
      <c r="E134" s="302" t="s">
        <v>294</v>
      </c>
      <c r="F134" s="372"/>
      <c r="G134" s="372"/>
      <c r="H134" s="372"/>
      <c r="I134" s="372"/>
      <c r="J134" s="372"/>
      <c r="K134" s="372"/>
      <c r="L134" s="372"/>
      <c r="M134" s="372"/>
      <c r="N134" s="63"/>
      <c r="O134" s="63"/>
      <c r="P134" s="63"/>
    </row>
    <row r="135" spans="2:18" s="64" customFormat="1" ht="15.75" customHeight="1">
      <c r="B135" s="63"/>
      <c r="C135" s="63"/>
      <c r="D135" s="63"/>
      <c r="E135" s="63"/>
      <c r="F135" s="63"/>
      <c r="G135" s="63"/>
      <c r="H135" s="185"/>
      <c r="I135" s="63"/>
      <c r="J135" s="63"/>
      <c r="K135" s="63"/>
      <c r="L135" s="63"/>
      <c r="M135" s="63"/>
      <c r="N135" s="63"/>
      <c r="O135" s="63"/>
      <c r="P135" s="63"/>
    </row>
    <row r="136" spans="2:18" s="64" customFormat="1" ht="31.5" customHeight="1">
      <c r="B136" s="307" t="s">
        <v>194</v>
      </c>
      <c r="C136" s="307" t="s">
        <v>2</v>
      </c>
      <c r="D136" s="307" t="s">
        <v>24</v>
      </c>
      <c r="E136" s="307" t="s">
        <v>35</v>
      </c>
      <c r="F136" s="307" t="s">
        <v>232</v>
      </c>
      <c r="G136" s="129" t="s">
        <v>211</v>
      </c>
      <c r="H136" s="307" t="s">
        <v>196</v>
      </c>
      <c r="I136" s="307"/>
      <c r="J136" s="307"/>
      <c r="K136" s="307"/>
      <c r="L136" s="307"/>
      <c r="M136" s="307"/>
      <c r="N136" s="307"/>
      <c r="O136" s="70"/>
      <c r="P136" s="70"/>
    </row>
    <row r="137" spans="2:18" s="64" customFormat="1" ht="87.75" customHeight="1">
      <c r="B137" s="307"/>
      <c r="C137" s="307"/>
      <c r="D137" s="307"/>
      <c r="E137" s="307"/>
      <c r="F137" s="307"/>
      <c r="G137" s="307" t="s">
        <v>242</v>
      </c>
      <c r="H137" s="307" t="s">
        <v>197</v>
      </c>
      <c r="I137" s="307"/>
      <c r="J137" s="342" t="s">
        <v>198</v>
      </c>
      <c r="K137" s="342"/>
      <c r="L137" s="309" t="s">
        <v>199</v>
      </c>
      <c r="M137" s="309" t="s">
        <v>200</v>
      </c>
      <c r="N137" s="309"/>
      <c r="O137" s="70"/>
      <c r="P137" s="136"/>
    </row>
    <row r="138" spans="2:18" s="64" customFormat="1" ht="36" customHeight="1">
      <c r="B138" s="307"/>
      <c r="C138" s="307"/>
      <c r="D138" s="307"/>
      <c r="E138" s="307"/>
      <c r="F138" s="307"/>
      <c r="G138" s="307"/>
      <c r="H138" s="307"/>
      <c r="I138" s="307"/>
      <c r="J138" s="342"/>
      <c r="K138" s="342"/>
      <c r="L138" s="309"/>
      <c r="M138" s="133" t="s">
        <v>14</v>
      </c>
      <c r="N138" s="133" t="s">
        <v>201</v>
      </c>
      <c r="O138" s="136"/>
      <c r="P138" s="136"/>
    </row>
    <row r="139" spans="2:18" s="64" customFormat="1" ht="15.75" customHeight="1">
      <c r="B139" s="129">
        <v>1</v>
      </c>
      <c r="C139" s="129">
        <v>2</v>
      </c>
      <c r="D139" s="129">
        <v>3</v>
      </c>
      <c r="E139" s="129">
        <v>4</v>
      </c>
      <c r="F139" s="129">
        <v>5</v>
      </c>
      <c r="G139" s="129">
        <v>6</v>
      </c>
      <c r="H139" s="307">
        <v>7</v>
      </c>
      <c r="I139" s="307"/>
      <c r="J139" s="307">
        <v>8</v>
      </c>
      <c r="K139" s="307"/>
      <c r="L139" s="133">
        <v>9</v>
      </c>
      <c r="M139" s="133">
        <v>10</v>
      </c>
      <c r="N139" s="133">
        <v>11</v>
      </c>
      <c r="O139" s="136"/>
      <c r="P139" s="136"/>
    </row>
    <row r="140" spans="2:18" s="64" customFormat="1" ht="15.75">
      <c r="B140" s="134"/>
      <c r="C140" s="134"/>
      <c r="D140" s="67"/>
      <c r="E140" s="130"/>
      <c r="F140" s="130"/>
      <c r="G140" s="130"/>
      <c r="H140" s="371" t="s">
        <v>9</v>
      </c>
      <c r="I140" s="371"/>
      <c r="J140" s="371" t="s">
        <v>9</v>
      </c>
      <c r="K140" s="371"/>
      <c r="L140" s="123" t="s">
        <v>9</v>
      </c>
      <c r="M140" s="123" t="s">
        <v>9</v>
      </c>
      <c r="N140" s="123" t="s">
        <v>9</v>
      </c>
      <c r="O140" s="84"/>
      <c r="P140" s="84"/>
    </row>
    <row r="141" spans="2:18" s="58" customFormat="1" ht="15.75" customHeight="1">
      <c r="B141" s="82"/>
      <c r="C141" s="82"/>
      <c r="D141" s="71" t="s">
        <v>23</v>
      </c>
      <c r="E141" s="131" t="s">
        <v>9</v>
      </c>
      <c r="F141" s="131" t="s">
        <v>9</v>
      </c>
      <c r="G141" s="131"/>
      <c r="H141" s="305"/>
      <c r="I141" s="305"/>
      <c r="J141" s="305"/>
      <c r="K141" s="305"/>
      <c r="L141" s="140"/>
      <c r="M141" s="140"/>
      <c r="N141" s="140"/>
      <c r="O141" s="57"/>
      <c r="P141" s="57"/>
      <c r="Q141" s="57" t="s">
        <v>307</v>
      </c>
      <c r="R141" s="57"/>
    </row>
    <row r="142" spans="2:18" ht="15.75">
      <c r="B142" s="2"/>
      <c r="C142" s="2"/>
      <c r="D142" s="2"/>
      <c r="E142" s="2"/>
      <c r="F142" s="2"/>
      <c r="G142" s="2"/>
      <c r="H142" s="185"/>
      <c r="I142" s="2"/>
      <c r="J142" s="2"/>
      <c r="K142" s="63"/>
      <c r="L142" s="2"/>
      <c r="M142" s="2"/>
      <c r="N142" s="2"/>
      <c r="O142" s="2"/>
      <c r="P142" s="2"/>
    </row>
    <row r="143" spans="2:18" ht="33" customHeight="1">
      <c r="B143" s="2"/>
      <c r="C143" s="2"/>
      <c r="D143" s="2"/>
      <c r="E143" s="312" t="s">
        <v>295</v>
      </c>
      <c r="F143" s="313"/>
      <c r="G143" s="313"/>
      <c r="H143" s="313"/>
      <c r="I143" s="313"/>
      <c r="J143" s="313"/>
      <c r="K143" s="313"/>
      <c r="L143" s="313"/>
      <c r="M143" s="313"/>
      <c r="N143" s="2"/>
      <c r="O143" s="2"/>
      <c r="P143" s="2"/>
    </row>
    <row r="144" spans="2:18" ht="15.75">
      <c r="B144" s="2"/>
      <c r="C144" s="2"/>
      <c r="D144" s="2"/>
      <c r="E144" s="2"/>
      <c r="F144" s="2"/>
      <c r="G144" s="2"/>
      <c r="H144" s="185"/>
      <c r="I144" s="2"/>
      <c r="J144" s="2"/>
      <c r="K144" s="63"/>
      <c r="L144" s="2"/>
      <c r="M144" s="2"/>
      <c r="N144" s="2"/>
      <c r="O144" s="2"/>
      <c r="P144" s="2"/>
      <c r="Q144" s="49"/>
      <c r="R144" s="49"/>
    </row>
    <row r="145" spans="2:18" ht="31.5" customHeight="1">
      <c r="B145" s="306" t="s">
        <v>194</v>
      </c>
      <c r="C145" s="306" t="s">
        <v>2</v>
      </c>
      <c r="D145" s="373" t="s">
        <v>3</v>
      </c>
      <c r="E145" s="374"/>
      <c r="F145" s="306" t="s">
        <v>36</v>
      </c>
      <c r="G145" s="306" t="s">
        <v>233</v>
      </c>
      <c r="H145" s="370" t="s">
        <v>234</v>
      </c>
      <c r="I145" s="125" t="s">
        <v>211</v>
      </c>
      <c r="J145" s="306" t="s">
        <v>196</v>
      </c>
      <c r="K145" s="306"/>
      <c r="L145" s="306"/>
      <c r="M145" s="306"/>
      <c r="N145" s="306"/>
      <c r="O145" s="306"/>
      <c r="P145" s="306"/>
      <c r="Q145" s="60"/>
      <c r="R145" s="60"/>
    </row>
    <row r="146" spans="2:18" ht="96.75" customHeight="1">
      <c r="B146" s="306"/>
      <c r="C146" s="306"/>
      <c r="D146" s="375"/>
      <c r="E146" s="376"/>
      <c r="F146" s="306"/>
      <c r="G146" s="306"/>
      <c r="H146" s="370"/>
      <c r="I146" s="307" t="s">
        <v>267</v>
      </c>
      <c r="J146" s="306" t="s">
        <v>197</v>
      </c>
      <c r="K146" s="306"/>
      <c r="L146" s="319" t="s">
        <v>198</v>
      </c>
      <c r="M146" s="319"/>
      <c r="N146" s="309" t="s">
        <v>199</v>
      </c>
      <c r="O146" s="309" t="s">
        <v>200</v>
      </c>
      <c r="P146" s="309"/>
      <c r="Q146" s="60"/>
      <c r="R146" s="60"/>
    </row>
    <row r="147" spans="2:18" ht="31.5" customHeight="1">
      <c r="B147" s="306"/>
      <c r="C147" s="306"/>
      <c r="D147" s="377"/>
      <c r="E147" s="378"/>
      <c r="F147" s="306"/>
      <c r="G147" s="306"/>
      <c r="H147" s="370"/>
      <c r="I147" s="307"/>
      <c r="J147" s="306"/>
      <c r="K147" s="306"/>
      <c r="L147" s="319"/>
      <c r="M147" s="319"/>
      <c r="N147" s="309"/>
      <c r="O147" s="133" t="s">
        <v>14</v>
      </c>
      <c r="P147" s="133" t="s">
        <v>201</v>
      </c>
      <c r="Q147" s="143"/>
      <c r="R147" s="143"/>
    </row>
    <row r="148" spans="2:18" ht="15.75">
      <c r="B148" s="125">
        <v>1</v>
      </c>
      <c r="C148" s="125">
        <v>2</v>
      </c>
      <c r="D148" s="330">
        <v>3</v>
      </c>
      <c r="E148" s="331"/>
      <c r="F148" s="125">
        <v>4</v>
      </c>
      <c r="G148" s="125">
        <v>5</v>
      </c>
      <c r="H148" s="197">
        <v>6</v>
      </c>
      <c r="I148" s="125">
        <v>7</v>
      </c>
      <c r="J148" s="306">
        <v>8</v>
      </c>
      <c r="K148" s="306"/>
      <c r="L148" s="306">
        <v>9</v>
      </c>
      <c r="M148" s="306"/>
      <c r="N148" s="125">
        <v>10</v>
      </c>
      <c r="O148" s="125">
        <v>11</v>
      </c>
      <c r="P148" s="125">
        <v>12</v>
      </c>
      <c r="Q148" s="143"/>
      <c r="R148" s="143"/>
    </row>
    <row r="149" spans="2:18" ht="24" customHeight="1">
      <c r="B149" s="128">
        <v>247</v>
      </c>
      <c r="C149" s="128">
        <v>1</v>
      </c>
      <c r="D149" s="379" t="s">
        <v>262</v>
      </c>
      <c r="E149" s="380"/>
      <c r="F149" s="171">
        <v>56541.1</v>
      </c>
      <c r="G149" s="171">
        <f>ROUND((I149/F149/1.038),2)</f>
        <v>7.53</v>
      </c>
      <c r="H149" s="200">
        <v>3.8</v>
      </c>
      <c r="I149" s="83">
        <v>442100</v>
      </c>
      <c r="J149" s="300" t="s">
        <v>9</v>
      </c>
      <c r="K149" s="300"/>
      <c r="L149" s="300" t="s">
        <v>9</v>
      </c>
      <c r="M149" s="300"/>
      <c r="N149" s="128" t="s">
        <v>9</v>
      </c>
      <c r="O149" s="128" t="s">
        <v>9</v>
      </c>
      <c r="P149" s="128" t="s">
        <v>9</v>
      </c>
      <c r="Q149" s="74"/>
      <c r="R149" s="74"/>
    </row>
    <row r="150" spans="2:18" ht="33" customHeight="1">
      <c r="B150" s="128">
        <v>247</v>
      </c>
      <c r="C150" s="153">
        <v>2</v>
      </c>
      <c r="D150" s="379" t="s">
        <v>263</v>
      </c>
      <c r="E150" s="380"/>
      <c r="F150" s="128">
        <v>457.8</v>
      </c>
      <c r="G150" s="128">
        <f t="shared" ref="G150:G152" si="4">ROUND((I150/F150/1.038),2)</f>
        <v>2740.55</v>
      </c>
      <c r="H150" s="200">
        <v>3.8</v>
      </c>
      <c r="I150" s="83">
        <v>1302300</v>
      </c>
      <c r="J150" s="300" t="s">
        <v>9</v>
      </c>
      <c r="K150" s="300"/>
      <c r="L150" s="300" t="s">
        <v>9</v>
      </c>
      <c r="M150" s="300"/>
      <c r="N150" s="128" t="s">
        <v>9</v>
      </c>
      <c r="O150" s="128" t="s">
        <v>9</v>
      </c>
      <c r="P150" s="128" t="s">
        <v>9</v>
      </c>
      <c r="Q150" s="74"/>
      <c r="R150" s="74"/>
    </row>
    <row r="151" spans="2:18" ht="25.5" customHeight="1">
      <c r="B151" s="173">
        <v>244</v>
      </c>
      <c r="C151" s="173">
        <v>3</v>
      </c>
      <c r="D151" s="379" t="s">
        <v>351</v>
      </c>
      <c r="E151" s="380"/>
      <c r="F151" s="173">
        <v>29.7</v>
      </c>
      <c r="G151" s="174">
        <f>ROUND((I151/F151/1.038),2)</f>
        <v>4353.1000000000004</v>
      </c>
      <c r="H151" s="200">
        <v>3.8</v>
      </c>
      <c r="I151" s="83">
        <v>134200</v>
      </c>
      <c r="J151" s="300" t="s">
        <v>9</v>
      </c>
      <c r="K151" s="300"/>
      <c r="L151" s="300" t="s">
        <v>9</v>
      </c>
      <c r="M151" s="300"/>
      <c r="N151" s="173" t="s">
        <v>9</v>
      </c>
      <c r="O151" s="173" t="s">
        <v>9</v>
      </c>
      <c r="P151" s="173" t="s">
        <v>9</v>
      </c>
      <c r="Q151" s="74"/>
      <c r="R151" s="74"/>
    </row>
    <row r="152" spans="2:18" ht="20.25" customHeight="1">
      <c r="B152" s="128">
        <v>244</v>
      </c>
      <c r="C152" s="153">
        <v>4</v>
      </c>
      <c r="D152" s="379" t="s">
        <v>434</v>
      </c>
      <c r="E152" s="380"/>
      <c r="F152" s="86">
        <v>484.01</v>
      </c>
      <c r="G152" s="128">
        <f t="shared" si="4"/>
        <v>31.25</v>
      </c>
      <c r="H152" s="200">
        <v>3.8</v>
      </c>
      <c r="I152" s="179">
        <v>15700</v>
      </c>
      <c r="J152" s="300" t="s">
        <v>9</v>
      </c>
      <c r="K152" s="300"/>
      <c r="L152" s="300" t="s">
        <v>9</v>
      </c>
      <c r="M152" s="300"/>
      <c r="N152" s="128" t="s">
        <v>9</v>
      </c>
      <c r="O152" s="128" t="s">
        <v>9</v>
      </c>
      <c r="P152" s="128" t="s">
        <v>9</v>
      </c>
      <c r="Q152" s="74"/>
      <c r="R152" s="74"/>
    </row>
    <row r="153" spans="2:18" ht="19.5" customHeight="1">
      <c r="B153" s="128">
        <v>244</v>
      </c>
      <c r="C153" s="153">
        <v>6</v>
      </c>
      <c r="D153" s="379" t="s">
        <v>264</v>
      </c>
      <c r="E153" s="380"/>
      <c r="F153" s="86">
        <v>30.893000000000001</v>
      </c>
      <c r="G153" s="128">
        <f>ROUND((I153/F153/1.038),2)</f>
        <v>576.91999999999996</v>
      </c>
      <c r="H153" s="200">
        <v>3.8</v>
      </c>
      <c r="I153" s="86">
        <v>18500</v>
      </c>
      <c r="J153" s="300" t="s">
        <v>9</v>
      </c>
      <c r="K153" s="300"/>
      <c r="L153" s="300" t="s">
        <v>9</v>
      </c>
      <c r="M153" s="300"/>
      <c r="N153" s="128" t="s">
        <v>9</v>
      </c>
      <c r="O153" s="128" t="s">
        <v>9</v>
      </c>
      <c r="P153" s="128" t="s">
        <v>9</v>
      </c>
      <c r="Q153" s="57" t="s">
        <v>308</v>
      </c>
      <c r="R153" s="57"/>
    </row>
    <row r="154" spans="2:18" ht="15.75">
      <c r="B154" s="105"/>
      <c r="C154" s="381" t="s">
        <v>23</v>
      </c>
      <c r="D154" s="382"/>
      <c r="E154" s="383"/>
      <c r="F154" s="127" t="s">
        <v>9</v>
      </c>
      <c r="G154" s="127" t="s">
        <v>9</v>
      </c>
      <c r="H154" s="201" t="s">
        <v>9</v>
      </c>
      <c r="I154" s="260">
        <f>SUM(I149:I153)</f>
        <v>1912800</v>
      </c>
      <c r="J154" s="384">
        <f>I154</f>
        <v>1912800</v>
      </c>
      <c r="K154" s="384"/>
      <c r="L154" s="385">
        <v>0</v>
      </c>
      <c r="M154" s="385"/>
      <c r="N154" s="126">
        <v>0</v>
      </c>
      <c r="O154" s="126">
        <v>0</v>
      </c>
      <c r="P154" s="126">
        <v>0</v>
      </c>
      <c r="Q154" s="60"/>
      <c r="R154" s="60"/>
    </row>
    <row r="155" spans="2:18" ht="15.75" customHeight="1">
      <c r="B155" s="2"/>
      <c r="C155" s="2"/>
      <c r="D155" s="2"/>
      <c r="E155" s="2"/>
      <c r="F155" s="2"/>
      <c r="G155" s="2"/>
      <c r="H155" s="185"/>
      <c r="I155" s="2"/>
      <c r="J155" s="2"/>
      <c r="K155" s="63"/>
      <c r="L155" s="2"/>
      <c r="M155" s="2"/>
      <c r="N155" s="2"/>
      <c r="O155" s="2"/>
      <c r="P155" s="2"/>
      <c r="Q155" s="49"/>
      <c r="R155" s="49"/>
    </row>
    <row r="156" spans="2:18" ht="23.25" customHeight="1">
      <c r="B156" s="2"/>
      <c r="C156" s="312" t="s">
        <v>296</v>
      </c>
      <c r="D156" s="312"/>
      <c r="E156" s="312"/>
      <c r="F156" s="312"/>
      <c r="G156" s="312"/>
      <c r="H156" s="312"/>
      <c r="I156" s="312"/>
      <c r="J156" s="312"/>
      <c r="K156" s="312"/>
      <c r="L156" s="312"/>
      <c r="M156" s="312"/>
      <c r="N156" s="2"/>
      <c r="O156" s="2"/>
      <c r="P156" s="2"/>
    </row>
    <row r="157" spans="2:18" ht="15.75">
      <c r="B157" s="2"/>
      <c r="C157" s="2"/>
      <c r="D157" s="2"/>
      <c r="E157" s="2"/>
      <c r="F157" s="2"/>
      <c r="G157" s="2"/>
      <c r="H157" s="185"/>
      <c r="I157" s="2"/>
      <c r="J157" s="2"/>
      <c r="K157" s="63"/>
      <c r="L157" s="2"/>
      <c r="M157" s="2"/>
      <c r="N157" s="2"/>
      <c r="O157" s="2"/>
      <c r="P157" s="2"/>
    </row>
    <row r="158" spans="2:18" ht="31.5" customHeight="1">
      <c r="B158" s="306" t="s">
        <v>194</v>
      </c>
      <c r="C158" s="306" t="s">
        <v>2</v>
      </c>
      <c r="D158" s="306" t="s">
        <v>24</v>
      </c>
      <c r="E158" s="306" t="s">
        <v>235</v>
      </c>
      <c r="F158" s="306" t="s">
        <v>236</v>
      </c>
      <c r="G158" s="125" t="s">
        <v>237</v>
      </c>
      <c r="H158" s="306" t="s">
        <v>196</v>
      </c>
      <c r="I158" s="306"/>
      <c r="J158" s="306"/>
      <c r="K158" s="306"/>
      <c r="L158" s="306"/>
      <c r="M158" s="306"/>
      <c r="N158" s="306"/>
      <c r="O158" s="60"/>
      <c r="P158" s="60"/>
    </row>
    <row r="159" spans="2:18" ht="85.5" customHeight="1">
      <c r="B159" s="306"/>
      <c r="C159" s="306"/>
      <c r="D159" s="306"/>
      <c r="E159" s="306"/>
      <c r="F159" s="306"/>
      <c r="G159" s="386" t="s">
        <v>242</v>
      </c>
      <c r="H159" s="306" t="s">
        <v>197</v>
      </c>
      <c r="I159" s="306"/>
      <c r="J159" s="319" t="s">
        <v>198</v>
      </c>
      <c r="K159" s="319"/>
      <c r="L159" s="309" t="s">
        <v>199</v>
      </c>
      <c r="M159" s="309" t="s">
        <v>200</v>
      </c>
      <c r="N159" s="309"/>
      <c r="O159" s="60"/>
      <c r="P159" s="143"/>
    </row>
    <row r="160" spans="2:18" ht="35.25" customHeight="1">
      <c r="B160" s="306"/>
      <c r="C160" s="306"/>
      <c r="D160" s="306"/>
      <c r="E160" s="306"/>
      <c r="F160" s="306"/>
      <c r="G160" s="387"/>
      <c r="H160" s="306"/>
      <c r="I160" s="306"/>
      <c r="J160" s="319"/>
      <c r="K160" s="319"/>
      <c r="L160" s="309"/>
      <c r="M160" s="133" t="s">
        <v>14</v>
      </c>
      <c r="N160" s="133" t="s">
        <v>201</v>
      </c>
      <c r="O160" s="143"/>
      <c r="P160" s="143"/>
    </row>
    <row r="161" spans="2:20" ht="15.75">
      <c r="B161" s="125">
        <v>1</v>
      </c>
      <c r="C161" s="125">
        <v>2</v>
      </c>
      <c r="D161" s="125">
        <v>3</v>
      </c>
      <c r="E161" s="125">
        <v>4</v>
      </c>
      <c r="F161" s="125">
        <v>5</v>
      </c>
      <c r="G161" s="266">
        <v>6</v>
      </c>
      <c r="H161" s="306">
        <v>7</v>
      </c>
      <c r="I161" s="306"/>
      <c r="J161" s="306">
        <v>8</v>
      </c>
      <c r="K161" s="306"/>
      <c r="L161" s="125">
        <v>9</v>
      </c>
      <c r="M161" s="125">
        <v>10</v>
      </c>
      <c r="N161" s="125">
        <v>11</v>
      </c>
      <c r="O161" s="143"/>
      <c r="P161" s="143"/>
    </row>
    <row r="162" spans="2:20" ht="15.75">
      <c r="B162" s="128">
        <v>244</v>
      </c>
      <c r="C162" s="128">
        <v>1</v>
      </c>
      <c r="D162" s="104" t="s">
        <v>397</v>
      </c>
      <c r="E162" s="128">
        <v>1</v>
      </c>
      <c r="F162" s="179">
        <v>2850</v>
      </c>
      <c r="G162" s="83">
        <f>E162*F162</f>
        <v>2850</v>
      </c>
      <c r="H162" s="301" t="s">
        <v>9</v>
      </c>
      <c r="I162" s="301"/>
      <c r="J162" s="300" t="s">
        <v>9</v>
      </c>
      <c r="K162" s="300"/>
      <c r="L162" s="128" t="s">
        <v>9</v>
      </c>
      <c r="M162" s="128" t="s">
        <v>9</v>
      </c>
      <c r="N162" s="128" t="s">
        <v>9</v>
      </c>
      <c r="O162" s="74"/>
      <c r="P162" s="74"/>
      <c r="Q162" s="57" t="s">
        <v>309</v>
      </c>
      <c r="R162" s="57"/>
      <c r="S162" s="109" t="s">
        <v>305</v>
      </c>
      <c r="T162" s="111">
        <v>3900</v>
      </c>
    </row>
    <row r="163" spans="2:20" ht="36.75" hidden="1" customHeight="1">
      <c r="B163" s="128">
        <v>244</v>
      </c>
      <c r="C163" s="128">
        <v>2</v>
      </c>
      <c r="D163" s="104" t="s">
        <v>313</v>
      </c>
      <c r="E163" s="128">
        <v>1</v>
      </c>
      <c r="F163" s="179">
        <v>0</v>
      </c>
      <c r="G163" s="262">
        <f t="shared" ref="G163:G176" si="5">E163*F163</f>
        <v>0</v>
      </c>
      <c r="H163" s="301" t="s">
        <v>9</v>
      </c>
      <c r="I163" s="301"/>
      <c r="J163" s="300" t="s">
        <v>9</v>
      </c>
      <c r="K163" s="300"/>
      <c r="L163" s="128" t="s">
        <v>9</v>
      </c>
      <c r="M163" s="128" t="s">
        <v>9</v>
      </c>
      <c r="N163" s="128" t="s">
        <v>9</v>
      </c>
      <c r="O163" s="74"/>
      <c r="P163" s="74"/>
      <c r="S163" s="109" t="s">
        <v>299</v>
      </c>
      <c r="T163" s="109">
        <v>0</v>
      </c>
    </row>
    <row r="164" spans="2:20" ht="39.75" customHeight="1">
      <c r="B164" s="128">
        <v>244</v>
      </c>
      <c r="C164" s="128">
        <v>2</v>
      </c>
      <c r="D164" s="104" t="s">
        <v>273</v>
      </c>
      <c r="E164" s="128">
        <v>1</v>
      </c>
      <c r="F164" s="179">
        <v>1050</v>
      </c>
      <c r="G164" s="262">
        <f>F164</f>
        <v>1050</v>
      </c>
      <c r="H164" s="301" t="s">
        <v>9</v>
      </c>
      <c r="I164" s="301"/>
      <c r="J164" s="300" t="s">
        <v>9</v>
      </c>
      <c r="K164" s="300"/>
      <c r="L164" s="128" t="s">
        <v>9</v>
      </c>
      <c r="M164" s="128" t="s">
        <v>9</v>
      </c>
      <c r="N164" s="128" t="s">
        <v>9</v>
      </c>
      <c r="O164" s="74"/>
      <c r="P164" s="74"/>
      <c r="S164" s="109" t="s">
        <v>314</v>
      </c>
      <c r="T164" s="110">
        <v>188600</v>
      </c>
    </row>
    <row r="165" spans="2:20" ht="39" hidden="1" customHeight="1">
      <c r="B165" s="173">
        <v>244</v>
      </c>
      <c r="C165" s="173">
        <v>4</v>
      </c>
      <c r="D165" s="104" t="s">
        <v>352</v>
      </c>
      <c r="E165" s="173">
        <v>1</v>
      </c>
      <c r="F165" s="179">
        <v>0</v>
      </c>
      <c r="G165" s="262">
        <f t="shared" si="5"/>
        <v>0</v>
      </c>
      <c r="H165" s="301" t="s">
        <v>9</v>
      </c>
      <c r="I165" s="301"/>
      <c r="J165" s="300" t="s">
        <v>9</v>
      </c>
      <c r="K165" s="300"/>
      <c r="L165" s="173" t="s">
        <v>9</v>
      </c>
      <c r="M165" s="173" t="s">
        <v>9</v>
      </c>
      <c r="N165" s="173" t="s">
        <v>9</v>
      </c>
      <c r="O165" s="74"/>
      <c r="P165" s="74"/>
      <c r="S165" s="109"/>
      <c r="T165" s="110"/>
    </row>
    <row r="166" spans="2:20" ht="39" hidden="1" customHeight="1">
      <c r="B166" s="230">
        <v>244</v>
      </c>
      <c r="C166" s="230">
        <v>5</v>
      </c>
      <c r="D166" s="104" t="s">
        <v>403</v>
      </c>
      <c r="E166" s="230">
        <v>1</v>
      </c>
      <c r="F166" s="179">
        <v>0</v>
      </c>
      <c r="G166" s="262">
        <f t="shared" si="5"/>
        <v>0</v>
      </c>
      <c r="H166" s="296" t="s">
        <v>346</v>
      </c>
      <c r="I166" s="297"/>
      <c r="J166" s="298" t="s">
        <v>346</v>
      </c>
      <c r="K166" s="299"/>
      <c r="L166" s="251" t="s">
        <v>346</v>
      </c>
      <c r="M166" s="251" t="s">
        <v>346</v>
      </c>
      <c r="N166" s="251" t="s">
        <v>346</v>
      </c>
      <c r="O166" s="74"/>
      <c r="P166" s="74"/>
      <c r="S166" s="109"/>
      <c r="T166" s="110"/>
    </row>
    <row r="167" spans="2:20" ht="39" hidden="1" customHeight="1">
      <c r="B167" s="261">
        <v>244</v>
      </c>
      <c r="C167" s="261">
        <v>6</v>
      </c>
      <c r="D167" s="104" t="s">
        <v>404</v>
      </c>
      <c r="E167" s="261">
        <v>1</v>
      </c>
      <c r="F167" s="179">
        <v>0</v>
      </c>
      <c r="G167" s="262">
        <f t="shared" si="5"/>
        <v>0</v>
      </c>
      <c r="H167" s="296" t="s">
        <v>346</v>
      </c>
      <c r="I167" s="297"/>
      <c r="J167" s="298" t="s">
        <v>346</v>
      </c>
      <c r="K167" s="299"/>
      <c r="L167" s="261" t="s">
        <v>346</v>
      </c>
      <c r="M167" s="261" t="s">
        <v>346</v>
      </c>
      <c r="N167" s="261" t="s">
        <v>346</v>
      </c>
      <c r="O167" s="74"/>
      <c r="P167" s="74"/>
      <c r="S167" s="109"/>
      <c r="T167" s="110"/>
    </row>
    <row r="168" spans="2:20" ht="39" hidden="1" customHeight="1">
      <c r="B168" s="261">
        <v>244</v>
      </c>
      <c r="C168" s="261">
        <v>7</v>
      </c>
      <c r="D168" s="104" t="s">
        <v>405</v>
      </c>
      <c r="E168" s="261">
        <v>1</v>
      </c>
      <c r="F168" s="179">
        <v>0</v>
      </c>
      <c r="G168" s="262">
        <f t="shared" si="5"/>
        <v>0</v>
      </c>
      <c r="H168" s="296" t="s">
        <v>346</v>
      </c>
      <c r="I168" s="297"/>
      <c r="J168" s="298" t="s">
        <v>346</v>
      </c>
      <c r="K168" s="299"/>
      <c r="L168" s="261" t="s">
        <v>346</v>
      </c>
      <c r="M168" s="261" t="s">
        <v>346</v>
      </c>
      <c r="N168" s="261" t="s">
        <v>346</v>
      </c>
      <c r="O168" s="74"/>
      <c r="P168" s="74"/>
      <c r="S168" s="109"/>
      <c r="T168" s="110"/>
    </row>
    <row r="169" spans="2:20" ht="39" hidden="1" customHeight="1">
      <c r="B169" s="230">
        <v>244</v>
      </c>
      <c r="C169" s="230">
        <v>8</v>
      </c>
      <c r="D169" s="104" t="s">
        <v>406</v>
      </c>
      <c r="E169" s="230">
        <v>1</v>
      </c>
      <c r="F169" s="179">
        <v>0</v>
      </c>
      <c r="G169" s="262">
        <f t="shared" si="5"/>
        <v>0</v>
      </c>
      <c r="H169" s="296" t="s">
        <v>346</v>
      </c>
      <c r="I169" s="297"/>
      <c r="J169" s="298" t="s">
        <v>346</v>
      </c>
      <c r="K169" s="299"/>
      <c r="L169" s="230" t="s">
        <v>346</v>
      </c>
      <c r="M169" s="230" t="s">
        <v>346</v>
      </c>
      <c r="N169" s="230" t="s">
        <v>346</v>
      </c>
      <c r="O169" s="74"/>
      <c r="P169" s="74"/>
      <c r="S169" s="109"/>
      <c r="T169" s="110"/>
    </row>
    <row r="170" spans="2:20" ht="39" hidden="1" customHeight="1">
      <c r="B170" s="230">
        <v>244</v>
      </c>
      <c r="C170" s="230">
        <v>9</v>
      </c>
      <c r="D170" s="104" t="s">
        <v>377</v>
      </c>
      <c r="E170" s="230">
        <v>1</v>
      </c>
      <c r="F170" s="179">
        <v>0</v>
      </c>
      <c r="G170" s="262">
        <f>F170</f>
        <v>0</v>
      </c>
      <c r="H170" s="296" t="s">
        <v>346</v>
      </c>
      <c r="I170" s="297"/>
      <c r="J170" s="298" t="s">
        <v>346</v>
      </c>
      <c r="K170" s="299"/>
      <c r="L170" s="230" t="s">
        <v>346</v>
      </c>
      <c r="M170" s="230" t="s">
        <v>346</v>
      </c>
      <c r="N170" s="230" t="s">
        <v>346</v>
      </c>
      <c r="O170" s="74"/>
      <c r="P170" s="74"/>
      <c r="S170" s="109"/>
      <c r="T170" s="110"/>
    </row>
    <row r="171" spans="2:20" ht="39" hidden="1" customHeight="1">
      <c r="B171" s="230">
        <v>244</v>
      </c>
      <c r="C171" s="230">
        <v>10</v>
      </c>
      <c r="D171" s="104" t="s">
        <v>376</v>
      </c>
      <c r="E171" s="230">
        <v>1</v>
      </c>
      <c r="F171" s="179">
        <v>0</v>
      </c>
      <c r="G171" s="262">
        <f t="shared" si="5"/>
        <v>0</v>
      </c>
      <c r="H171" s="296" t="s">
        <v>346</v>
      </c>
      <c r="I171" s="297"/>
      <c r="J171" s="298" t="s">
        <v>346</v>
      </c>
      <c r="K171" s="299"/>
      <c r="L171" s="230" t="s">
        <v>346</v>
      </c>
      <c r="M171" s="230" t="s">
        <v>346</v>
      </c>
      <c r="N171" s="230" t="s">
        <v>346</v>
      </c>
      <c r="O171" s="74"/>
      <c r="P171" s="74"/>
      <c r="S171" s="109"/>
      <c r="T171" s="110"/>
    </row>
    <row r="172" spans="2:20" ht="39" hidden="1" customHeight="1">
      <c r="B172" s="251">
        <v>244</v>
      </c>
      <c r="C172" s="251">
        <v>11</v>
      </c>
      <c r="D172" s="104" t="s">
        <v>396</v>
      </c>
      <c r="E172" s="251">
        <v>1</v>
      </c>
      <c r="F172" s="179">
        <v>0</v>
      </c>
      <c r="G172" s="262">
        <f t="shared" si="5"/>
        <v>0</v>
      </c>
      <c r="H172" s="296" t="s">
        <v>346</v>
      </c>
      <c r="I172" s="297"/>
      <c r="J172" s="298" t="s">
        <v>346</v>
      </c>
      <c r="K172" s="299"/>
      <c r="L172" s="251" t="s">
        <v>346</v>
      </c>
      <c r="M172" s="251" t="s">
        <v>346</v>
      </c>
      <c r="N172" s="251" t="s">
        <v>346</v>
      </c>
      <c r="O172" s="74"/>
      <c r="P172" s="74"/>
      <c r="S172" s="109"/>
      <c r="T172" s="110"/>
    </row>
    <row r="173" spans="2:20" ht="63">
      <c r="B173" s="173">
        <v>244</v>
      </c>
      <c r="C173" s="128">
        <v>3</v>
      </c>
      <c r="D173" s="104" t="s">
        <v>274</v>
      </c>
      <c r="E173" s="153">
        <v>1</v>
      </c>
      <c r="F173" s="179">
        <v>152600</v>
      </c>
      <c r="G173" s="262">
        <f t="shared" ref="G173:G175" si="6">E173*F173</f>
        <v>152600</v>
      </c>
      <c r="H173" s="301" t="s">
        <v>9</v>
      </c>
      <c r="I173" s="301"/>
      <c r="J173" s="300" t="s">
        <v>9</v>
      </c>
      <c r="K173" s="300"/>
      <c r="L173" s="128" t="s">
        <v>9</v>
      </c>
      <c r="M173" s="128" t="s">
        <v>9</v>
      </c>
      <c r="N173" s="128" t="s">
        <v>9</v>
      </c>
      <c r="O173" s="74"/>
      <c r="P173" s="74"/>
      <c r="S173" s="109" t="s">
        <v>7</v>
      </c>
      <c r="T173" s="176">
        <f>SUM(T162:T164)</f>
        <v>192500</v>
      </c>
    </row>
    <row r="174" spans="2:20" ht="63">
      <c r="B174" s="128">
        <v>244</v>
      </c>
      <c r="C174" s="128">
        <v>4</v>
      </c>
      <c r="D174" s="104" t="s">
        <v>275</v>
      </c>
      <c r="E174" s="153">
        <v>1</v>
      </c>
      <c r="F174" s="179">
        <v>36000</v>
      </c>
      <c r="G174" s="262">
        <f t="shared" si="6"/>
        <v>36000</v>
      </c>
      <c r="H174" s="301" t="s">
        <v>9</v>
      </c>
      <c r="I174" s="301"/>
      <c r="J174" s="300" t="s">
        <v>9</v>
      </c>
      <c r="K174" s="300"/>
      <c r="L174" s="173" t="s">
        <v>9</v>
      </c>
      <c r="M174" s="128" t="s">
        <v>9</v>
      </c>
      <c r="N174" s="128" t="s">
        <v>9</v>
      </c>
      <c r="O174" s="74"/>
      <c r="P174" s="74"/>
      <c r="T174" t="b">
        <f>G177=T173</f>
        <v>1</v>
      </c>
    </row>
    <row r="175" spans="2:20" ht="91.5" hidden="1" customHeight="1">
      <c r="B175" s="128">
        <v>244</v>
      </c>
      <c r="C175" s="128">
        <v>8</v>
      </c>
      <c r="D175" s="104" t="s">
        <v>276</v>
      </c>
      <c r="E175" s="153">
        <v>1</v>
      </c>
      <c r="F175" s="179"/>
      <c r="G175" s="231">
        <f t="shared" si="6"/>
        <v>0</v>
      </c>
      <c r="H175" s="301" t="s">
        <v>9</v>
      </c>
      <c r="I175" s="301"/>
      <c r="J175" s="300" t="s">
        <v>9</v>
      </c>
      <c r="K175" s="300"/>
      <c r="L175" s="128" t="s">
        <v>9</v>
      </c>
      <c r="M175" s="128" t="s">
        <v>9</v>
      </c>
      <c r="N175" s="128" t="s">
        <v>9</v>
      </c>
      <c r="O175" s="74"/>
      <c r="P175" s="74"/>
    </row>
    <row r="176" spans="2:20" ht="91.5" hidden="1" customHeight="1" outlineLevel="1">
      <c r="B176" s="128"/>
      <c r="C176" s="128"/>
      <c r="D176" s="104"/>
      <c r="E176" s="128">
        <v>1</v>
      </c>
      <c r="F176" s="128"/>
      <c r="G176" s="231">
        <f t="shared" si="5"/>
        <v>0</v>
      </c>
      <c r="H176" s="301" t="s">
        <v>9</v>
      </c>
      <c r="I176" s="301"/>
      <c r="J176" s="300" t="s">
        <v>9</v>
      </c>
      <c r="K176" s="300"/>
      <c r="L176" s="128" t="s">
        <v>9</v>
      </c>
      <c r="M176" s="128" t="s">
        <v>9</v>
      </c>
      <c r="N176" s="128" t="s">
        <v>9</v>
      </c>
      <c r="O176" s="74"/>
      <c r="P176" s="74"/>
    </row>
    <row r="177" spans="2:20" ht="15.75" customHeight="1" collapsed="1">
      <c r="B177" s="128"/>
      <c r="C177" s="381" t="s">
        <v>23</v>
      </c>
      <c r="D177" s="383"/>
      <c r="E177" s="127" t="s">
        <v>9</v>
      </c>
      <c r="F177" s="127" t="s">
        <v>9</v>
      </c>
      <c r="G177" s="255">
        <f>SUM(G162:G176)</f>
        <v>192500</v>
      </c>
      <c r="H177" s="305">
        <f>T162</f>
        <v>3900</v>
      </c>
      <c r="I177" s="341"/>
      <c r="J177" s="385">
        <f>T164</f>
        <v>188600</v>
      </c>
      <c r="K177" s="385"/>
      <c r="L177" s="126">
        <v>0</v>
      </c>
      <c r="M177" s="126">
        <f>T163</f>
        <v>0</v>
      </c>
      <c r="N177" s="149">
        <v>0</v>
      </c>
      <c r="O177" s="60"/>
      <c r="P177" s="60"/>
      <c r="Q177" s="10">
        <f>SUM(H177:M177)</f>
        <v>192500</v>
      </c>
      <c r="R177" s="112"/>
    </row>
    <row r="178" spans="2:20" ht="15.75">
      <c r="B178" s="107"/>
      <c r="C178" s="2"/>
      <c r="D178" s="2"/>
      <c r="E178" s="2"/>
      <c r="F178" s="256"/>
      <c r="G178" s="2"/>
      <c r="H178" s="247"/>
      <c r="I178" s="2"/>
      <c r="J178" s="2"/>
      <c r="K178" s="63"/>
      <c r="L178" s="2"/>
      <c r="M178" s="2"/>
      <c r="N178" s="26"/>
      <c r="O178" s="26"/>
      <c r="P178" s="26"/>
      <c r="Q178" t="b">
        <f>G177=Q177</f>
        <v>1</v>
      </c>
    </row>
    <row r="179" spans="2:20" ht="25.5" customHeight="1">
      <c r="B179" s="2"/>
      <c r="C179" s="312" t="s">
        <v>297</v>
      </c>
      <c r="D179" s="312"/>
      <c r="E179" s="312"/>
      <c r="F179" s="312"/>
      <c r="G179" s="312"/>
      <c r="H179" s="312"/>
      <c r="I179" s="312"/>
      <c r="J179" s="312"/>
      <c r="K179" s="312"/>
      <c r="L179" s="312"/>
      <c r="M179" s="312"/>
      <c r="N179" s="2"/>
      <c r="O179" s="2"/>
      <c r="P179" s="2"/>
    </row>
    <row r="180" spans="2:20" ht="15.75">
      <c r="B180" s="2"/>
      <c r="C180" s="2"/>
      <c r="D180" s="2"/>
      <c r="E180" s="2"/>
      <c r="F180" s="2"/>
      <c r="G180" s="2"/>
      <c r="H180" s="185"/>
      <c r="I180" s="2"/>
      <c r="J180" s="2"/>
      <c r="K180" s="63"/>
      <c r="L180" s="2"/>
      <c r="M180" s="2"/>
      <c r="N180" s="2"/>
      <c r="O180" s="2"/>
      <c r="P180" s="2"/>
    </row>
    <row r="181" spans="2:20" ht="31.5" customHeight="1">
      <c r="B181" s="306" t="s">
        <v>194</v>
      </c>
      <c r="C181" s="306" t="s">
        <v>2</v>
      </c>
      <c r="D181" s="306" t="s">
        <v>24</v>
      </c>
      <c r="E181" s="306" t="s">
        <v>238</v>
      </c>
      <c r="F181" s="306" t="s">
        <v>239</v>
      </c>
      <c r="G181" s="125" t="s">
        <v>237</v>
      </c>
      <c r="H181" s="306" t="s">
        <v>196</v>
      </c>
      <c r="I181" s="306"/>
      <c r="J181" s="306"/>
      <c r="K181" s="306"/>
      <c r="L181" s="306"/>
      <c r="M181" s="306"/>
      <c r="N181" s="306"/>
      <c r="O181" s="60"/>
      <c r="P181" s="60"/>
    </row>
    <row r="182" spans="2:20" ht="100.5" customHeight="1">
      <c r="B182" s="306"/>
      <c r="C182" s="306"/>
      <c r="D182" s="306"/>
      <c r="E182" s="306"/>
      <c r="F182" s="306"/>
      <c r="G182" s="386" t="s">
        <v>242</v>
      </c>
      <c r="H182" s="306" t="s">
        <v>197</v>
      </c>
      <c r="I182" s="306"/>
      <c r="J182" s="319" t="s">
        <v>198</v>
      </c>
      <c r="K182" s="319"/>
      <c r="L182" s="309" t="s">
        <v>199</v>
      </c>
      <c r="M182" s="309" t="s">
        <v>200</v>
      </c>
      <c r="N182" s="309"/>
      <c r="O182" s="60"/>
      <c r="P182" s="143"/>
    </row>
    <row r="183" spans="2:20" ht="15.75" customHeight="1">
      <c r="B183" s="306"/>
      <c r="C183" s="306"/>
      <c r="D183" s="306"/>
      <c r="E183" s="306"/>
      <c r="F183" s="306"/>
      <c r="G183" s="387"/>
      <c r="H183" s="306"/>
      <c r="I183" s="306"/>
      <c r="J183" s="319"/>
      <c r="K183" s="319"/>
      <c r="L183" s="309"/>
      <c r="M183" s="133" t="s">
        <v>14</v>
      </c>
      <c r="N183" s="133" t="s">
        <v>201</v>
      </c>
      <c r="O183" s="143"/>
      <c r="P183" s="143"/>
    </row>
    <row r="184" spans="2:20" ht="15.75">
      <c r="B184" s="125">
        <v>1</v>
      </c>
      <c r="C184" s="125">
        <v>2</v>
      </c>
      <c r="D184" s="125">
        <v>3</v>
      </c>
      <c r="E184" s="125">
        <v>4</v>
      </c>
      <c r="F184" s="125">
        <v>5</v>
      </c>
      <c r="G184" s="125">
        <v>6</v>
      </c>
      <c r="H184" s="306">
        <v>7</v>
      </c>
      <c r="I184" s="306"/>
      <c r="J184" s="306">
        <v>8</v>
      </c>
      <c r="K184" s="306"/>
      <c r="L184" s="125">
        <v>9</v>
      </c>
      <c r="M184" s="125">
        <v>10</v>
      </c>
      <c r="N184" s="125">
        <v>11</v>
      </c>
      <c r="O184" s="143"/>
      <c r="P184" s="143"/>
    </row>
    <row r="185" spans="2:20" ht="31.5">
      <c r="B185" s="128">
        <v>244</v>
      </c>
      <c r="C185" s="128">
        <v>1</v>
      </c>
      <c r="D185" s="104" t="s">
        <v>277</v>
      </c>
      <c r="E185" s="128">
        <v>1</v>
      </c>
      <c r="F185" s="86">
        <f>1660+4980</f>
        <v>6640</v>
      </c>
      <c r="G185" s="268">
        <f>F185</f>
        <v>6640</v>
      </c>
      <c r="H185" s="298" t="s">
        <v>9</v>
      </c>
      <c r="I185" s="299"/>
      <c r="J185" s="298" t="s">
        <v>9</v>
      </c>
      <c r="K185" s="299"/>
      <c r="L185" s="267" t="s">
        <v>9</v>
      </c>
      <c r="M185" s="267" t="s">
        <v>9</v>
      </c>
      <c r="N185" s="128" t="s">
        <v>9</v>
      </c>
      <c r="O185" s="74"/>
      <c r="P185" s="74"/>
      <c r="Q185" s="57" t="s">
        <v>310</v>
      </c>
      <c r="R185" s="57"/>
      <c r="S185" s="109" t="s">
        <v>305</v>
      </c>
      <c r="T185" s="111">
        <v>52480</v>
      </c>
    </row>
    <row r="186" spans="2:20" ht="69" customHeight="1">
      <c r="B186" s="128">
        <v>244</v>
      </c>
      <c r="C186" s="128">
        <v>2</v>
      </c>
      <c r="D186" s="273" t="s">
        <v>427</v>
      </c>
      <c r="E186" s="128">
        <v>1</v>
      </c>
      <c r="F186" s="86">
        <v>98873</v>
      </c>
      <c r="G186" s="271">
        <f t="shared" ref="G186:G203" si="7">F186</f>
        <v>98873</v>
      </c>
      <c r="H186" s="300" t="s">
        <v>9</v>
      </c>
      <c r="I186" s="300"/>
      <c r="J186" s="300" t="s">
        <v>9</v>
      </c>
      <c r="K186" s="300"/>
      <c r="L186" s="128" t="s">
        <v>9</v>
      </c>
      <c r="M186" s="128" t="s">
        <v>9</v>
      </c>
      <c r="N186" s="128" t="s">
        <v>9</v>
      </c>
      <c r="O186" s="74"/>
      <c r="P186" s="74"/>
      <c r="S186" s="109" t="s">
        <v>299</v>
      </c>
      <c r="T186" s="109">
        <v>16094</v>
      </c>
    </row>
    <row r="187" spans="2:20" ht="47.25" hidden="1">
      <c r="B187" s="128">
        <v>244</v>
      </c>
      <c r="C187" s="128">
        <v>3</v>
      </c>
      <c r="D187" s="104" t="s">
        <v>278</v>
      </c>
      <c r="E187" s="128">
        <v>1</v>
      </c>
      <c r="F187" s="86">
        <v>0</v>
      </c>
      <c r="G187" s="271">
        <f t="shared" si="7"/>
        <v>0</v>
      </c>
      <c r="H187" s="300" t="s">
        <v>9</v>
      </c>
      <c r="I187" s="300"/>
      <c r="J187" s="300" t="s">
        <v>9</v>
      </c>
      <c r="K187" s="300"/>
      <c r="L187" s="128" t="s">
        <v>9</v>
      </c>
      <c r="M187" s="128" t="s">
        <v>9</v>
      </c>
      <c r="N187" s="128" t="s">
        <v>9</v>
      </c>
      <c r="O187" s="74"/>
      <c r="P187" s="74"/>
      <c r="S187" s="109" t="s">
        <v>314</v>
      </c>
      <c r="T187" s="110">
        <v>102373</v>
      </c>
    </row>
    <row r="188" spans="2:20" ht="84" hidden="1" customHeight="1">
      <c r="B188" s="216">
        <v>244</v>
      </c>
      <c r="C188" s="216">
        <v>4</v>
      </c>
      <c r="D188" s="103" t="s">
        <v>279</v>
      </c>
      <c r="E188" s="216">
        <v>1</v>
      </c>
      <c r="F188" s="86">
        <v>0</v>
      </c>
      <c r="G188" s="271">
        <f t="shared" si="7"/>
        <v>0</v>
      </c>
      <c r="H188" s="298" t="s">
        <v>9</v>
      </c>
      <c r="I188" s="299"/>
      <c r="J188" s="298" t="s">
        <v>9</v>
      </c>
      <c r="K188" s="299"/>
      <c r="L188" s="267" t="s">
        <v>9</v>
      </c>
      <c r="M188" s="267" t="s">
        <v>9</v>
      </c>
      <c r="N188" s="128" t="s">
        <v>9</v>
      </c>
      <c r="O188" s="74"/>
      <c r="P188" s="74"/>
      <c r="S188" s="109" t="s">
        <v>7</v>
      </c>
      <c r="T188" s="176">
        <f>SUM(T185:T187)</f>
        <v>170947</v>
      </c>
    </row>
    <row r="189" spans="2:20" ht="51.75" hidden="1" customHeight="1">
      <c r="B189" s="128">
        <v>244</v>
      </c>
      <c r="C189" s="128">
        <v>5</v>
      </c>
      <c r="D189" s="104" t="s">
        <v>280</v>
      </c>
      <c r="E189" s="128">
        <v>1</v>
      </c>
      <c r="F189" s="86">
        <v>0</v>
      </c>
      <c r="G189" s="271">
        <f t="shared" si="7"/>
        <v>0</v>
      </c>
      <c r="H189" s="300" t="s">
        <v>9</v>
      </c>
      <c r="I189" s="300"/>
      <c r="J189" s="300" t="s">
        <v>9</v>
      </c>
      <c r="K189" s="300"/>
      <c r="L189" s="128" t="s">
        <v>9</v>
      </c>
      <c r="M189" s="128" t="s">
        <v>9</v>
      </c>
      <c r="N189" s="128" t="s">
        <v>9</v>
      </c>
      <c r="O189" s="74"/>
      <c r="P189" s="74"/>
      <c r="T189" t="b">
        <f>G204=T188</f>
        <v>1</v>
      </c>
    </row>
    <row r="190" spans="2:20" ht="19.5" customHeight="1">
      <c r="B190" s="128">
        <v>244</v>
      </c>
      <c r="C190" s="128">
        <v>3</v>
      </c>
      <c r="D190" s="104" t="s">
        <v>281</v>
      </c>
      <c r="E190" s="128">
        <v>1</v>
      </c>
      <c r="F190" s="86">
        <v>2578.8000000000002</v>
      </c>
      <c r="G190" s="271">
        <f t="shared" si="7"/>
        <v>2578.8000000000002</v>
      </c>
      <c r="H190" s="300" t="s">
        <v>9</v>
      </c>
      <c r="I190" s="300"/>
      <c r="J190" s="300" t="s">
        <v>9</v>
      </c>
      <c r="K190" s="300"/>
      <c r="L190" s="128" t="s">
        <v>9</v>
      </c>
      <c r="M190" s="128" t="s">
        <v>9</v>
      </c>
      <c r="N190" s="128" t="s">
        <v>9</v>
      </c>
      <c r="O190" s="74"/>
      <c r="P190" s="74"/>
    </row>
    <row r="191" spans="2:20" ht="36" customHeight="1">
      <c r="B191" s="128">
        <v>244</v>
      </c>
      <c r="C191" s="128">
        <v>4</v>
      </c>
      <c r="D191" s="104" t="s">
        <v>282</v>
      </c>
      <c r="E191" s="128">
        <v>1</v>
      </c>
      <c r="F191" s="86">
        <v>2661.2</v>
      </c>
      <c r="G191" s="271">
        <f t="shared" si="7"/>
        <v>2661.2</v>
      </c>
      <c r="H191" s="300" t="s">
        <v>9</v>
      </c>
      <c r="I191" s="300"/>
      <c r="J191" s="300" t="s">
        <v>9</v>
      </c>
      <c r="K191" s="300"/>
      <c r="L191" s="128" t="s">
        <v>9</v>
      </c>
      <c r="M191" s="128" t="s">
        <v>9</v>
      </c>
      <c r="N191" s="128" t="s">
        <v>9</v>
      </c>
      <c r="O191" s="74"/>
      <c r="P191" s="74"/>
    </row>
    <row r="192" spans="2:20" ht="36" hidden="1" customHeight="1">
      <c r="B192" s="230">
        <v>244</v>
      </c>
      <c r="C192" s="230">
        <v>8</v>
      </c>
      <c r="D192" s="104" t="s">
        <v>379</v>
      </c>
      <c r="E192" s="230">
        <v>1</v>
      </c>
      <c r="F192" s="86">
        <v>0</v>
      </c>
      <c r="G192" s="271">
        <f t="shared" si="7"/>
        <v>0</v>
      </c>
      <c r="H192" s="298" t="s">
        <v>346</v>
      </c>
      <c r="I192" s="299"/>
      <c r="J192" s="298" t="s">
        <v>346</v>
      </c>
      <c r="K192" s="299"/>
      <c r="L192" s="230" t="s">
        <v>346</v>
      </c>
      <c r="M192" s="230" t="s">
        <v>346</v>
      </c>
      <c r="N192" s="230" t="s">
        <v>346</v>
      </c>
      <c r="O192" s="74"/>
      <c r="P192" s="74"/>
    </row>
    <row r="193" spans="2:18" ht="55.5" hidden="1" customHeight="1">
      <c r="B193" s="230">
        <v>244</v>
      </c>
      <c r="C193" s="230">
        <v>9</v>
      </c>
      <c r="D193" s="104" t="s">
        <v>380</v>
      </c>
      <c r="E193" s="230">
        <v>1</v>
      </c>
      <c r="F193" s="86">
        <v>0</v>
      </c>
      <c r="G193" s="271">
        <f t="shared" si="7"/>
        <v>0</v>
      </c>
      <c r="H193" s="298" t="s">
        <v>346</v>
      </c>
      <c r="I193" s="299"/>
      <c r="J193" s="298" t="s">
        <v>346</v>
      </c>
      <c r="K193" s="299"/>
      <c r="L193" s="230" t="s">
        <v>346</v>
      </c>
      <c r="M193" s="230" t="s">
        <v>346</v>
      </c>
      <c r="N193" s="230" t="s">
        <v>346</v>
      </c>
      <c r="O193" s="74"/>
      <c r="P193" s="74"/>
    </row>
    <row r="194" spans="2:18" ht="30.75" hidden="1" customHeight="1">
      <c r="B194" s="230">
        <v>244</v>
      </c>
      <c r="C194" s="230">
        <v>10</v>
      </c>
      <c r="D194" s="104" t="s">
        <v>381</v>
      </c>
      <c r="E194" s="230">
        <v>1</v>
      </c>
      <c r="F194" s="86">
        <v>0</v>
      </c>
      <c r="G194" s="271">
        <f t="shared" si="7"/>
        <v>0</v>
      </c>
      <c r="H194" s="298" t="s">
        <v>346</v>
      </c>
      <c r="I194" s="299"/>
      <c r="J194" s="298" t="s">
        <v>346</v>
      </c>
      <c r="K194" s="299"/>
      <c r="L194" s="230" t="s">
        <v>346</v>
      </c>
      <c r="M194" s="230" t="s">
        <v>346</v>
      </c>
      <c r="N194" s="230" t="s">
        <v>346</v>
      </c>
      <c r="O194" s="74"/>
      <c r="P194" s="74"/>
    </row>
    <row r="195" spans="2:18" ht="30.75" hidden="1" customHeight="1">
      <c r="B195" s="267">
        <v>244</v>
      </c>
      <c r="C195" s="267">
        <v>11</v>
      </c>
      <c r="D195" s="104" t="s">
        <v>413</v>
      </c>
      <c r="E195" s="267">
        <v>1</v>
      </c>
      <c r="F195" s="86">
        <v>0</v>
      </c>
      <c r="G195" s="271">
        <f t="shared" si="7"/>
        <v>0</v>
      </c>
      <c r="H195" s="298" t="s">
        <v>346</v>
      </c>
      <c r="I195" s="299"/>
      <c r="J195" s="298" t="s">
        <v>346</v>
      </c>
      <c r="K195" s="299"/>
      <c r="L195" s="267" t="s">
        <v>346</v>
      </c>
      <c r="M195" s="267" t="s">
        <v>346</v>
      </c>
      <c r="N195" s="267" t="s">
        <v>346</v>
      </c>
      <c r="O195" s="74"/>
      <c r="P195" s="74"/>
    </row>
    <row r="196" spans="2:18" ht="55.5" hidden="1" customHeight="1">
      <c r="B196" s="267">
        <v>244</v>
      </c>
      <c r="C196" s="267">
        <v>12</v>
      </c>
      <c r="D196" s="104" t="s">
        <v>412</v>
      </c>
      <c r="E196" s="267">
        <v>1</v>
      </c>
      <c r="F196" s="86">
        <v>0</v>
      </c>
      <c r="G196" s="271">
        <f t="shared" si="7"/>
        <v>0</v>
      </c>
      <c r="H196" s="298" t="s">
        <v>346</v>
      </c>
      <c r="I196" s="299"/>
      <c r="J196" s="298" t="s">
        <v>346</v>
      </c>
      <c r="K196" s="299"/>
      <c r="L196" s="267" t="s">
        <v>346</v>
      </c>
      <c r="M196" s="267" t="s">
        <v>346</v>
      </c>
      <c r="N196" s="267" t="s">
        <v>346</v>
      </c>
      <c r="O196" s="74"/>
      <c r="P196" s="74"/>
    </row>
    <row r="197" spans="2:18" ht="55.5" hidden="1" customHeight="1">
      <c r="B197" s="230">
        <v>244</v>
      </c>
      <c r="C197" s="230">
        <v>13</v>
      </c>
      <c r="D197" s="104" t="s">
        <v>382</v>
      </c>
      <c r="E197" s="230">
        <v>1</v>
      </c>
      <c r="F197" s="86">
        <v>0</v>
      </c>
      <c r="G197" s="271">
        <f t="shared" si="7"/>
        <v>0</v>
      </c>
      <c r="H197" s="298" t="s">
        <v>346</v>
      </c>
      <c r="I197" s="299"/>
      <c r="J197" s="298" t="s">
        <v>346</v>
      </c>
      <c r="K197" s="299"/>
      <c r="L197" s="230" t="s">
        <v>346</v>
      </c>
      <c r="M197" s="230" t="s">
        <v>346</v>
      </c>
      <c r="N197" s="230" t="s">
        <v>346</v>
      </c>
      <c r="O197" s="74"/>
      <c r="P197" s="74"/>
    </row>
    <row r="198" spans="2:18" ht="36" customHeight="1">
      <c r="B198" s="225">
        <v>244</v>
      </c>
      <c r="C198" s="225">
        <v>5</v>
      </c>
      <c r="D198" s="104" t="s">
        <v>324</v>
      </c>
      <c r="E198" s="225">
        <v>1</v>
      </c>
      <c r="F198" s="86">
        <v>30600</v>
      </c>
      <c r="G198" s="271">
        <f t="shared" si="7"/>
        <v>30600</v>
      </c>
      <c r="H198" s="300" t="s">
        <v>9</v>
      </c>
      <c r="I198" s="300"/>
      <c r="J198" s="300" t="s">
        <v>9</v>
      </c>
      <c r="K198" s="300"/>
      <c r="L198" s="225" t="s">
        <v>9</v>
      </c>
      <c r="M198" s="225" t="s">
        <v>9</v>
      </c>
      <c r="N198" s="225" t="s">
        <v>9</v>
      </c>
      <c r="O198" s="74"/>
      <c r="P198" s="74"/>
    </row>
    <row r="199" spans="2:18" ht="36" hidden="1" customHeight="1">
      <c r="B199" s="230">
        <v>244</v>
      </c>
      <c r="C199" s="230">
        <v>15</v>
      </c>
      <c r="D199" s="104" t="s">
        <v>378</v>
      </c>
      <c r="E199" s="230">
        <v>1</v>
      </c>
      <c r="F199" s="86">
        <v>0</v>
      </c>
      <c r="G199" s="271">
        <f t="shared" si="7"/>
        <v>0</v>
      </c>
      <c r="H199" s="296" t="s">
        <v>346</v>
      </c>
      <c r="I199" s="297"/>
      <c r="J199" s="296" t="s">
        <v>346</v>
      </c>
      <c r="K199" s="297"/>
      <c r="L199" s="233" t="s">
        <v>346</v>
      </c>
      <c r="M199" s="233" t="s">
        <v>346</v>
      </c>
      <c r="N199" s="230" t="s">
        <v>346</v>
      </c>
      <c r="O199" s="74"/>
      <c r="P199" s="74"/>
    </row>
    <row r="200" spans="2:18" ht="104.25" customHeight="1">
      <c r="B200" s="216">
        <v>112</v>
      </c>
      <c r="C200" s="215">
        <v>6</v>
      </c>
      <c r="D200" s="217" t="s">
        <v>354</v>
      </c>
      <c r="E200" s="215">
        <v>1</v>
      </c>
      <c r="F200" s="86">
        <v>10000</v>
      </c>
      <c r="G200" s="271">
        <f t="shared" si="7"/>
        <v>10000</v>
      </c>
      <c r="H200" s="301" t="s">
        <v>9</v>
      </c>
      <c r="I200" s="301"/>
      <c r="J200" s="301" t="s">
        <v>9</v>
      </c>
      <c r="K200" s="301"/>
      <c r="L200" s="233" t="s">
        <v>9</v>
      </c>
      <c r="M200" s="233" t="s">
        <v>9</v>
      </c>
      <c r="N200" s="215" t="s">
        <v>9</v>
      </c>
      <c r="O200" s="74"/>
      <c r="P200" s="74"/>
    </row>
    <row r="201" spans="2:18" s="64" customFormat="1" ht="20.25" customHeight="1">
      <c r="B201" s="134">
        <v>244</v>
      </c>
      <c r="C201" s="134">
        <v>7</v>
      </c>
      <c r="D201" s="103" t="s">
        <v>325</v>
      </c>
      <c r="E201" s="134">
        <v>1</v>
      </c>
      <c r="F201" s="86">
        <v>16094</v>
      </c>
      <c r="G201" s="271">
        <f t="shared" si="7"/>
        <v>16094</v>
      </c>
      <c r="H201" s="301" t="s">
        <v>9</v>
      </c>
      <c r="I201" s="301"/>
      <c r="J201" s="301" t="s">
        <v>9</v>
      </c>
      <c r="K201" s="301"/>
      <c r="L201" s="233" t="s">
        <v>9</v>
      </c>
      <c r="M201" s="233" t="s">
        <v>9</v>
      </c>
      <c r="N201" s="134" t="s">
        <v>9</v>
      </c>
      <c r="O201" s="88"/>
      <c r="P201" s="88"/>
    </row>
    <row r="202" spans="2:18" s="64" customFormat="1" ht="36.75" hidden="1" customHeight="1">
      <c r="B202" s="251">
        <v>244</v>
      </c>
      <c r="C202" s="250">
        <v>18</v>
      </c>
      <c r="D202" s="103" t="s">
        <v>398</v>
      </c>
      <c r="E202" s="250">
        <v>1</v>
      </c>
      <c r="F202" s="86">
        <v>0</v>
      </c>
      <c r="G202" s="271">
        <f t="shared" si="7"/>
        <v>0</v>
      </c>
      <c r="H202" s="296" t="s">
        <v>346</v>
      </c>
      <c r="I202" s="297"/>
      <c r="J202" s="296" t="s">
        <v>346</v>
      </c>
      <c r="K202" s="297"/>
      <c r="L202" s="250" t="s">
        <v>346</v>
      </c>
      <c r="M202" s="250" t="s">
        <v>346</v>
      </c>
      <c r="N202" s="250" t="s">
        <v>346</v>
      </c>
      <c r="O202" s="88"/>
      <c r="P202" s="88"/>
    </row>
    <row r="203" spans="2:18" ht="166.5" customHeight="1">
      <c r="B203" s="128">
        <v>244</v>
      </c>
      <c r="C203" s="153">
        <v>8</v>
      </c>
      <c r="D203" s="104" t="s">
        <v>283</v>
      </c>
      <c r="E203" s="128">
        <v>1</v>
      </c>
      <c r="F203" s="86">
        <v>3500</v>
      </c>
      <c r="G203" s="271">
        <f t="shared" si="7"/>
        <v>3500</v>
      </c>
      <c r="H203" s="301" t="s">
        <v>9</v>
      </c>
      <c r="I203" s="301"/>
      <c r="J203" s="301" t="s">
        <v>9</v>
      </c>
      <c r="K203" s="301"/>
      <c r="L203" s="233" t="s">
        <v>9</v>
      </c>
      <c r="M203" s="233" t="s">
        <v>9</v>
      </c>
      <c r="N203" s="128" t="s">
        <v>9</v>
      </c>
      <c r="O203" s="74"/>
      <c r="P203" s="74"/>
    </row>
    <row r="204" spans="2:18" ht="15.75" customHeight="1">
      <c r="B204" s="114"/>
      <c r="C204" s="381" t="s">
        <v>23</v>
      </c>
      <c r="D204" s="383"/>
      <c r="E204" s="127" t="s">
        <v>9</v>
      </c>
      <c r="F204" s="127" t="s">
        <v>9</v>
      </c>
      <c r="G204" s="118">
        <f>SUM(G185:G203)</f>
        <v>170947</v>
      </c>
      <c r="H204" s="359">
        <f>T185</f>
        <v>52480</v>
      </c>
      <c r="I204" s="359"/>
      <c r="J204" s="305">
        <f>T187</f>
        <v>102373</v>
      </c>
      <c r="K204" s="341"/>
      <c r="L204" s="232">
        <v>0</v>
      </c>
      <c r="M204" s="232">
        <f>T186</f>
        <v>16094</v>
      </c>
      <c r="N204" s="149">
        <v>0</v>
      </c>
      <c r="O204" s="60"/>
      <c r="P204" s="60"/>
      <c r="Q204" s="112">
        <f>SUM(H204:M204)</f>
        <v>170947</v>
      </c>
      <c r="R204" s="112"/>
    </row>
    <row r="205" spans="2:18" ht="15.75">
      <c r="B205" s="2"/>
      <c r="C205" s="2"/>
      <c r="D205" s="2"/>
      <c r="E205" s="2"/>
      <c r="F205" s="257"/>
      <c r="G205" s="257"/>
      <c r="H205" s="247"/>
      <c r="I205" s="2"/>
      <c r="J205" s="248"/>
      <c r="K205" s="63"/>
      <c r="L205" s="2"/>
      <c r="M205" s="2"/>
      <c r="N205" s="26"/>
      <c r="O205" s="26"/>
      <c r="P205" s="26"/>
      <c r="Q205" t="b">
        <f>G204=Q204</f>
        <v>1</v>
      </c>
    </row>
    <row r="206" spans="2:18" s="64" customFormat="1" ht="24" customHeight="1">
      <c r="B206" s="63"/>
      <c r="C206" s="302" t="s">
        <v>298</v>
      </c>
      <c r="D206" s="302"/>
      <c r="E206" s="302"/>
      <c r="F206" s="302"/>
      <c r="G206" s="302"/>
      <c r="H206" s="302"/>
      <c r="I206" s="302"/>
      <c r="J206" s="302"/>
      <c r="K206" s="302"/>
      <c r="L206" s="302"/>
      <c r="M206" s="302"/>
      <c r="N206" s="63"/>
      <c r="O206" s="63"/>
      <c r="P206" s="63"/>
    </row>
    <row r="207" spans="2:18" s="64" customFormat="1" ht="15.75">
      <c r="B207" s="63"/>
      <c r="C207" s="63"/>
      <c r="D207" s="63"/>
      <c r="E207" s="63"/>
      <c r="F207" s="63"/>
      <c r="G207" s="63"/>
      <c r="H207" s="185"/>
      <c r="I207" s="63"/>
      <c r="J207" s="63"/>
      <c r="K207" s="63"/>
      <c r="L207" s="63"/>
      <c r="M207" s="63"/>
      <c r="N207" s="63"/>
      <c r="O207" s="63"/>
      <c r="P207" s="63"/>
    </row>
    <row r="208" spans="2:18" s="64" customFormat="1" ht="31.5" customHeight="1">
      <c r="B208" s="307" t="s">
        <v>194</v>
      </c>
      <c r="C208" s="307" t="s">
        <v>2</v>
      </c>
      <c r="D208" s="307" t="s">
        <v>24</v>
      </c>
      <c r="E208" s="307" t="s">
        <v>248</v>
      </c>
      <c r="F208" s="307" t="s">
        <v>249</v>
      </c>
      <c r="G208" s="129" t="s">
        <v>211</v>
      </c>
      <c r="H208" s="307" t="s">
        <v>196</v>
      </c>
      <c r="I208" s="307"/>
      <c r="J208" s="307"/>
      <c r="K208" s="307"/>
      <c r="L208" s="307"/>
      <c r="M208" s="307"/>
      <c r="N208" s="307"/>
      <c r="O208" s="70"/>
      <c r="P208" s="70"/>
    </row>
    <row r="209" spans="2:18" s="64" customFormat="1" ht="99.75" customHeight="1">
      <c r="B209" s="307"/>
      <c r="C209" s="307"/>
      <c r="D209" s="307"/>
      <c r="E209" s="307"/>
      <c r="F209" s="307"/>
      <c r="G209" s="307" t="s">
        <v>242</v>
      </c>
      <c r="H209" s="307" t="s">
        <v>197</v>
      </c>
      <c r="I209" s="307"/>
      <c r="J209" s="342" t="s">
        <v>198</v>
      </c>
      <c r="K209" s="342"/>
      <c r="L209" s="309" t="s">
        <v>199</v>
      </c>
      <c r="M209" s="309" t="s">
        <v>200</v>
      </c>
      <c r="N209" s="309"/>
      <c r="O209" s="70"/>
      <c r="P209" s="136"/>
    </row>
    <row r="210" spans="2:18" s="64" customFormat="1" ht="15.75" customHeight="1">
      <c r="B210" s="307"/>
      <c r="C210" s="307"/>
      <c r="D210" s="307"/>
      <c r="E210" s="307"/>
      <c r="F210" s="307"/>
      <c r="G210" s="307"/>
      <c r="H210" s="307"/>
      <c r="I210" s="307"/>
      <c r="J210" s="342"/>
      <c r="K210" s="342"/>
      <c r="L210" s="309"/>
      <c r="M210" s="133" t="s">
        <v>14</v>
      </c>
      <c r="N210" s="133" t="s">
        <v>201</v>
      </c>
      <c r="O210" s="136"/>
      <c r="P210" s="136"/>
    </row>
    <row r="211" spans="2:18" s="64" customFormat="1" ht="15.75">
      <c r="B211" s="129">
        <v>1</v>
      </c>
      <c r="C211" s="129">
        <v>2</v>
      </c>
      <c r="D211" s="129">
        <v>3</v>
      </c>
      <c r="E211" s="129">
        <v>4</v>
      </c>
      <c r="F211" s="129">
        <v>5</v>
      </c>
      <c r="G211" s="129">
        <v>6</v>
      </c>
      <c r="H211" s="307">
        <v>7</v>
      </c>
      <c r="I211" s="307"/>
      <c r="J211" s="307">
        <v>8</v>
      </c>
      <c r="K211" s="307"/>
      <c r="L211" s="125">
        <v>9</v>
      </c>
      <c r="M211" s="125">
        <v>10</v>
      </c>
      <c r="N211" s="125">
        <v>11</v>
      </c>
      <c r="O211" s="136"/>
      <c r="P211" s="136"/>
    </row>
    <row r="212" spans="2:18" s="64" customFormat="1" ht="36" customHeight="1">
      <c r="B212" s="134">
        <v>244</v>
      </c>
      <c r="C212" s="134">
        <v>1</v>
      </c>
      <c r="D212" s="106"/>
      <c r="E212" s="87">
        <v>1</v>
      </c>
      <c r="F212" s="83">
        <v>0</v>
      </c>
      <c r="G212" s="83">
        <f>F212</f>
        <v>0</v>
      </c>
      <c r="H212" s="371" t="s">
        <v>9</v>
      </c>
      <c r="I212" s="371"/>
      <c r="J212" s="371" t="s">
        <v>9</v>
      </c>
      <c r="K212" s="371"/>
      <c r="L212" s="130" t="s">
        <v>9</v>
      </c>
      <c r="M212" s="130" t="s">
        <v>9</v>
      </c>
      <c r="N212" s="130" t="s">
        <v>9</v>
      </c>
      <c r="O212" s="84"/>
      <c r="P212" s="84"/>
    </row>
    <row r="213" spans="2:18" s="58" customFormat="1" ht="15.75">
      <c r="B213" s="134"/>
      <c r="C213" s="303" t="s">
        <v>23</v>
      </c>
      <c r="D213" s="304"/>
      <c r="E213" s="131" t="s">
        <v>9</v>
      </c>
      <c r="F213" s="131" t="s">
        <v>9</v>
      </c>
      <c r="G213" s="131">
        <f>SUM(G212)</f>
        <v>0</v>
      </c>
      <c r="H213" s="305">
        <f>G213</f>
        <v>0</v>
      </c>
      <c r="I213" s="305"/>
      <c r="J213" s="305">
        <v>0</v>
      </c>
      <c r="K213" s="305"/>
      <c r="L213" s="131">
        <v>0</v>
      </c>
      <c r="M213" s="131">
        <v>0</v>
      </c>
      <c r="N213" s="131">
        <v>0</v>
      </c>
      <c r="O213" s="57"/>
      <c r="P213" s="57"/>
      <c r="Q213" s="57" t="s">
        <v>311</v>
      </c>
      <c r="R213" s="57"/>
    </row>
    <row r="214" spans="2:18" s="58" customFormat="1" ht="15.75">
      <c r="B214" s="68"/>
      <c r="C214" s="224"/>
      <c r="D214" s="224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</row>
    <row r="215" spans="2:18" s="58" customFormat="1" ht="15.75" customHeight="1">
      <c r="B215" s="68"/>
      <c r="C215" s="224"/>
      <c r="D215" s="302" t="s">
        <v>356</v>
      </c>
      <c r="E215" s="302"/>
      <c r="F215" s="302"/>
      <c r="G215" s="302"/>
      <c r="H215" s="302"/>
      <c r="I215" s="302"/>
      <c r="J215" s="302"/>
      <c r="K215" s="302"/>
      <c r="L215" s="302"/>
      <c r="M215" s="302"/>
      <c r="N215" s="302"/>
      <c r="O215" s="57"/>
      <c r="P215" s="57"/>
      <c r="Q215" s="57"/>
      <c r="R215" s="57"/>
    </row>
    <row r="216" spans="2:18" s="58" customFormat="1" ht="15.75" customHeight="1">
      <c r="B216" s="68"/>
      <c r="C216" s="224"/>
      <c r="D216" s="226"/>
      <c r="E216" s="226"/>
      <c r="F216" s="226"/>
      <c r="G216" s="226"/>
      <c r="H216" s="226"/>
      <c r="I216" s="226"/>
      <c r="J216" s="226"/>
      <c r="K216" s="226"/>
      <c r="L216" s="226"/>
      <c r="M216" s="226"/>
      <c r="N216" s="226"/>
      <c r="O216" s="57"/>
      <c r="P216" s="57"/>
      <c r="Q216" s="57"/>
      <c r="R216" s="57"/>
    </row>
    <row r="217" spans="2:18" s="58" customFormat="1" ht="15.75">
      <c r="B217" s="307" t="s">
        <v>194</v>
      </c>
      <c r="C217" s="307" t="s">
        <v>2</v>
      </c>
      <c r="D217" s="307" t="s">
        <v>24</v>
      </c>
      <c r="E217" s="307" t="s">
        <v>248</v>
      </c>
      <c r="F217" s="307" t="s">
        <v>249</v>
      </c>
      <c r="G217" s="220" t="s">
        <v>211</v>
      </c>
      <c r="H217" s="307" t="s">
        <v>196</v>
      </c>
      <c r="I217" s="307"/>
      <c r="J217" s="307"/>
      <c r="K217" s="307"/>
      <c r="L217" s="307"/>
      <c r="M217" s="307"/>
      <c r="N217" s="307"/>
      <c r="O217" s="57"/>
      <c r="P217" s="57"/>
      <c r="Q217" s="57"/>
      <c r="R217" s="57"/>
    </row>
    <row r="218" spans="2:18" s="58" customFormat="1" ht="15.75">
      <c r="B218" s="307"/>
      <c r="C218" s="307"/>
      <c r="D218" s="307"/>
      <c r="E218" s="307"/>
      <c r="F218" s="307"/>
      <c r="G218" s="307" t="s">
        <v>242</v>
      </c>
      <c r="H218" s="307" t="s">
        <v>197</v>
      </c>
      <c r="I218" s="307"/>
      <c r="J218" s="342" t="s">
        <v>198</v>
      </c>
      <c r="K218" s="342"/>
      <c r="L218" s="309" t="s">
        <v>199</v>
      </c>
      <c r="M218" s="309" t="s">
        <v>200</v>
      </c>
      <c r="N218" s="309"/>
      <c r="O218" s="57"/>
      <c r="P218" s="57"/>
      <c r="Q218" s="57"/>
      <c r="R218" s="57"/>
    </row>
    <row r="219" spans="2:18" s="58" customFormat="1" ht="31.5">
      <c r="B219" s="307"/>
      <c r="C219" s="307"/>
      <c r="D219" s="307"/>
      <c r="E219" s="307"/>
      <c r="F219" s="307"/>
      <c r="G219" s="307"/>
      <c r="H219" s="307"/>
      <c r="I219" s="307"/>
      <c r="J219" s="342"/>
      <c r="K219" s="342"/>
      <c r="L219" s="309"/>
      <c r="M219" s="218" t="s">
        <v>14</v>
      </c>
      <c r="N219" s="218" t="s">
        <v>201</v>
      </c>
      <c r="O219" s="57"/>
      <c r="P219" s="57"/>
      <c r="Q219" s="57"/>
      <c r="R219" s="57"/>
    </row>
    <row r="220" spans="2:18" s="58" customFormat="1" ht="21" customHeight="1">
      <c r="B220" s="220">
        <v>1</v>
      </c>
      <c r="C220" s="220">
        <v>2</v>
      </c>
      <c r="D220" s="220">
        <v>3</v>
      </c>
      <c r="E220" s="220">
        <v>4</v>
      </c>
      <c r="F220" s="220">
        <v>5</v>
      </c>
      <c r="G220" s="220">
        <v>6</v>
      </c>
      <c r="H220" s="307">
        <v>7</v>
      </c>
      <c r="I220" s="307"/>
      <c r="J220" s="307">
        <v>8</v>
      </c>
      <c r="K220" s="307"/>
      <c r="L220" s="219">
        <v>9</v>
      </c>
      <c r="M220" s="219">
        <v>10</v>
      </c>
      <c r="N220" s="219">
        <v>11</v>
      </c>
      <c r="O220" s="57"/>
      <c r="P220" s="57"/>
      <c r="Q220" s="57"/>
      <c r="R220" s="57"/>
    </row>
    <row r="221" spans="2:18" s="58" customFormat="1" ht="26.25" customHeight="1">
      <c r="B221" s="221">
        <v>244</v>
      </c>
      <c r="C221" s="221" t="s">
        <v>202</v>
      </c>
      <c r="D221" s="67"/>
      <c r="E221" s="87">
        <v>1</v>
      </c>
      <c r="F221" s="83"/>
      <c r="G221" s="83">
        <f>ROUND((E221*F221),1)</f>
        <v>0</v>
      </c>
      <c r="H221" s="371" t="s">
        <v>9</v>
      </c>
      <c r="I221" s="371"/>
      <c r="J221" s="371" t="s">
        <v>9</v>
      </c>
      <c r="K221" s="371"/>
      <c r="L221" s="223" t="s">
        <v>9</v>
      </c>
      <c r="M221" s="223" t="s">
        <v>9</v>
      </c>
      <c r="N221" s="223" t="s">
        <v>9</v>
      </c>
      <c r="O221" s="57"/>
      <c r="P221" s="57"/>
      <c r="Q221" s="57"/>
      <c r="R221" s="57"/>
    </row>
    <row r="222" spans="2:18" s="58" customFormat="1" ht="26.25" customHeight="1">
      <c r="B222" s="221"/>
      <c r="C222" s="303" t="s">
        <v>23</v>
      </c>
      <c r="D222" s="304"/>
      <c r="E222" s="222" t="s">
        <v>9</v>
      </c>
      <c r="F222" s="222" t="s">
        <v>9</v>
      </c>
      <c r="G222" s="222">
        <f>SUM(G221)</f>
        <v>0</v>
      </c>
      <c r="H222" s="305">
        <f>G222</f>
        <v>0</v>
      </c>
      <c r="I222" s="305"/>
      <c r="J222" s="305">
        <v>0</v>
      </c>
      <c r="K222" s="305"/>
      <c r="L222" s="222">
        <v>0</v>
      </c>
      <c r="M222" s="222">
        <v>0</v>
      </c>
      <c r="N222" s="222">
        <v>0</v>
      </c>
      <c r="O222" s="57"/>
      <c r="P222" s="57"/>
      <c r="Q222" s="57"/>
      <c r="R222" s="57"/>
    </row>
    <row r="223" spans="2:18" s="58" customFormat="1" ht="15.75">
      <c r="B223" s="68"/>
      <c r="C223" s="224"/>
      <c r="D223" s="224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</row>
    <row r="224" spans="2:18" s="58" customFormat="1" ht="15.75" customHeight="1">
      <c r="B224" s="55"/>
      <c r="C224" s="55"/>
      <c r="D224" s="56"/>
      <c r="E224" s="57"/>
      <c r="F224" s="57"/>
      <c r="G224" s="57"/>
      <c r="H224" s="202"/>
      <c r="I224" s="57"/>
      <c r="J224" s="57"/>
      <c r="K224" s="57"/>
      <c r="L224" s="57"/>
      <c r="M224" s="57"/>
      <c r="N224" s="57"/>
      <c r="O224" s="57"/>
      <c r="P224" s="57"/>
    </row>
    <row r="225" spans="2:20" s="64" customFormat="1" ht="26.25" customHeight="1">
      <c r="B225" s="63"/>
      <c r="C225" s="302" t="s">
        <v>357</v>
      </c>
      <c r="D225" s="302"/>
      <c r="E225" s="302"/>
      <c r="F225" s="302"/>
      <c r="G225" s="302"/>
      <c r="H225" s="302"/>
      <c r="I225" s="302"/>
      <c r="J225" s="302"/>
      <c r="K225" s="302"/>
      <c r="L225" s="302"/>
      <c r="M225" s="302"/>
      <c r="N225" s="63"/>
      <c r="O225" s="63"/>
      <c r="P225" s="63"/>
    </row>
    <row r="226" spans="2:20" s="64" customFormat="1" ht="15.75" customHeight="1">
      <c r="B226" s="63"/>
      <c r="C226" s="63"/>
      <c r="D226" s="63"/>
      <c r="E226" s="63"/>
      <c r="F226" s="63"/>
      <c r="G226" s="63"/>
      <c r="H226" s="185"/>
      <c r="I226" s="63"/>
      <c r="J226" s="63"/>
      <c r="K226" s="63"/>
      <c r="L226" s="63"/>
      <c r="M226" s="63"/>
      <c r="N226" s="63"/>
      <c r="O226" s="63"/>
      <c r="P226" s="63"/>
    </row>
    <row r="227" spans="2:20" s="64" customFormat="1" ht="31.5" customHeight="1">
      <c r="B227" s="307" t="s">
        <v>194</v>
      </c>
      <c r="C227" s="307" t="s">
        <v>2</v>
      </c>
      <c r="D227" s="307" t="s">
        <v>24</v>
      </c>
      <c r="E227" s="307" t="s">
        <v>240</v>
      </c>
      <c r="F227" s="307" t="s">
        <v>241</v>
      </c>
      <c r="G227" s="129" t="s">
        <v>211</v>
      </c>
      <c r="H227" s="307" t="s">
        <v>196</v>
      </c>
      <c r="I227" s="307"/>
      <c r="J227" s="307"/>
      <c r="K227" s="307"/>
      <c r="L227" s="307"/>
      <c r="M227" s="307"/>
      <c r="N227" s="307"/>
      <c r="O227" s="70"/>
      <c r="P227" s="70"/>
    </row>
    <row r="228" spans="2:20" s="64" customFormat="1" ht="100.5" customHeight="1">
      <c r="B228" s="307"/>
      <c r="C228" s="307"/>
      <c r="D228" s="307"/>
      <c r="E228" s="307"/>
      <c r="F228" s="307"/>
      <c r="G228" s="307" t="s">
        <v>242</v>
      </c>
      <c r="H228" s="307" t="s">
        <v>197</v>
      </c>
      <c r="I228" s="307"/>
      <c r="J228" s="342" t="s">
        <v>198</v>
      </c>
      <c r="K228" s="342"/>
      <c r="L228" s="309" t="s">
        <v>199</v>
      </c>
      <c r="M228" s="309" t="s">
        <v>200</v>
      </c>
      <c r="N228" s="309"/>
      <c r="O228" s="70"/>
      <c r="P228" s="136"/>
    </row>
    <row r="229" spans="2:20" s="64" customFormat="1" ht="31.5">
      <c r="B229" s="307"/>
      <c r="C229" s="307"/>
      <c r="D229" s="307"/>
      <c r="E229" s="307"/>
      <c r="F229" s="307"/>
      <c r="G229" s="307"/>
      <c r="H229" s="307"/>
      <c r="I229" s="307"/>
      <c r="J229" s="342"/>
      <c r="K229" s="342"/>
      <c r="L229" s="309"/>
      <c r="M229" s="133" t="s">
        <v>14</v>
      </c>
      <c r="N229" s="133" t="s">
        <v>201</v>
      </c>
      <c r="O229" s="136"/>
      <c r="P229" s="136"/>
      <c r="S229" s="64" t="s">
        <v>323</v>
      </c>
      <c r="T229" s="64">
        <v>17434</v>
      </c>
    </row>
    <row r="230" spans="2:20" s="64" customFormat="1" ht="15.75" customHeight="1">
      <c r="B230" s="129">
        <v>1</v>
      </c>
      <c r="C230" s="129">
        <v>2</v>
      </c>
      <c r="D230" s="129">
        <v>3</v>
      </c>
      <c r="E230" s="129">
        <v>4</v>
      </c>
      <c r="F230" s="129">
        <v>5</v>
      </c>
      <c r="G230" s="129">
        <v>6</v>
      </c>
      <c r="H230" s="307">
        <v>7</v>
      </c>
      <c r="I230" s="307"/>
      <c r="J230" s="307">
        <v>8</v>
      </c>
      <c r="K230" s="307"/>
      <c r="L230" s="125">
        <v>9</v>
      </c>
      <c r="M230" s="125">
        <v>10</v>
      </c>
      <c r="N230" s="125">
        <v>11</v>
      </c>
      <c r="O230" s="136"/>
      <c r="P230" s="136"/>
    </row>
    <row r="231" spans="2:20" s="64" customFormat="1" ht="70.5" hidden="1" customHeight="1">
      <c r="B231" s="235">
        <v>244</v>
      </c>
      <c r="C231" s="235">
        <v>1</v>
      </c>
      <c r="D231" s="246" t="s">
        <v>384</v>
      </c>
      <c r="E231" s="233">
        <v>1</v>
      </c>
      <c r="F231" s="233">
        <v>0</v>
      </c>
      <c r="G231" s="250">
        <f>F231</f>
        <v>0</v>
      </c>
      <c r="H231" s="296" t="s">
        <v>346</v>
      </c>
      <c r="I231" s="297"/>
      <c r="J231" s="296" t="s">
        <v>346</v>
      </c>
      <c r="K231" s="297"/>
      <c r="L231" s="230" t="s">
        <v>346</v>
      </c>
      <c r="M231" s="230" t="s">
        <v>346</v>
      </c>
      <c r="N231" s="230" t="s">
        <v>346</v>
      </c>
      <c r="O231" s="237"/>
      <c r="P231" s="237"/>
    </row>
    <row r="232" spans="2:20" s="64" customFormat="1" ht="50.25" hidden="1" customHeight="1">
      <c r="B232" s="235">
        <v>244</v>
      </c>
      <c r="C232" s="235">
        <v>2</v>
      </c>
      <c r="D232" s="246" t="s">
        <v>385</v>
      </c>
      <c r="E232" s="233">
        <v>1</v>
      </c>
      <c r="F232" s="270">
        <v>0</v>
      </c>
      <c r="G232" s="233">
        <f>F232</f>
        <v>0</v>
      </c>
      <c r="H232" s="296" t="s">
        <v>346</v>
      </c>
      <c r="I232" s="297"/>
      <c r="J232" s="296" t="s">
        <v>346</v>
      </c>
      <c r="K232" s="297"/>
      <c r="L232" s="230" t="s">
        <v>346</v>
      </c>
      <c r="M232" s="230" t="s">
        <v>346</v>
      </c>
      <c r="N232" s="230" t="s">
        <v>346</v>
      </c>
      <c r="O232" s="237"/>
      <c r="P232" s="237"/>
    </row>
    <row r="233" spans="2:20" s="64" customFormat="1" ht="33" hidden="1" customHeight="1">
      <c r="B233" s="252">
        <v>244</v>
      </c>
      <c r="C233" s="252">
        <v>3</v>
      </c>
      <c r="D233" s="253" t="s">
        <v>399</v>
      </c>
      <c r="E233" s="250">
        <v>1</v>
      </c>
      <c r="F233" s="270">
        <v>0</v>
      </c>
      <c r="G233" s="250">
        <f>F233</f>
        <v>0</v>
      </c>
      <c r="H233" s="296" t="s">
        <v>346</v>
      </c>
      <c r="I233" s="297"/>
      <c r="J233" s="296" t="s">
        <v>346</v>
      </c>
      <c r="K233" s="297"/>
      <c r="L233" s="251" t="s">
        <v>346</v>
      </c>
      <c r="M233" s="251" t="s">
        <v>346</v>
      </c>
      <c r="N233" s="251" t="s">
        <v>346</v>
      </c>
      <c r="O233" s="254"/>
      <c r="P233" s="254"/>
    </row>
    <row r="234" spans="2:20" s="64" customFormat="1" ht="24.75" customHeight="1">
      <c r="B234" s="134">
        <v>244</v>
      </c>
      <c r="C234" s="134">
        <v>1</v>
      </c>
      <c r="D234" s="66" t="s">
        <v>355</v>
      </c>
      <c r="E234" s="134">
        <v>571</v>
      </c>
      <c r="F234" s="162">
        <v>350</v>
      </c>
      <c r="G234" s="214">
        <v>17434</v>
      </c>
      <c r="H234" s="296" t="s">
        <v>9</v>
      </c>
      <c r="I234" s="297"/>
      <c r="J234" s="296" t="s">
        <v>9</v>
      </c>
      <c r="K234" s="297"/>
      <c r="L234" s="134" t="s">
        <v>9</v>
      </c>
      <c r="M234" s="134" t="s">
        <v>9</v>
      </c>
      <c r="N234" s="134" t="s">
        <v>9</v>
      </c>
      <c r="O234" s="68"/>
      <c r="P234" s="68"/>
      <c r="S234" s="64" t="s">
        <v>383</v>
      </c>
      <c r="T234" s="64">
        <v>0</v>
      </c>
    </row>
    <row r="235" spans="2:20" s="58" customFormat="1" ht="15.75">
      <c r="B235" s="106"/>
      <c r="C235" s="303" t="s">
        <v>23</v>
      </c>
      <c r="D235" s="304"/>
      <c r="E235" s="135" t="s">
        <v>9</v>
      </c>
      <c r="F235" s="135" t="s">
        <v>9</v>
      </c>
      <c r="G235" s="131">
        <f>SUM(G231:G234)</f>
        <v>17434</v>
      </c>
      <c r="H235" s="388">
        <f>T228+T229</f>
        <v>17434</v>
      </c>
      <c r="I235" s="389"/>
      <c r="J235" s="305">
        <f>T234</f>
        <v>0</v>
      </c>
      <c r="K235" s="341"/>
      <c r="L235" s="118">
        <v>0</v>
      </c>
      <c r="M235" s="118">
        <v>0</v>
      </c>
      <c r="N235" s="118">
        <v>0</v>
      </c>
      <c r="O235" s="57"/>
      <c r="P235" s="57"/>
      <c r="S235" s="58" t="s">
        <v>375</v>
      </c>
      <c r="T235" s="58">
        <f>SUM(T228:T234)</f>
        <v>17434</v>
      </c>
    </row>
    <row r="236" spans="2:20" ht="15.75" customHeight="1">
      <c r="B236" s="2"/>
      <c r="C236" s="2"/>
      <c r="D236" s="2"/>
      <c r="E236" s="2"/>
      <c r="F236" s="2"/>
      <c r="G236" s="2"/>
      <c r="H236" s="185"/>
      <c r="I236" s="2"/>
      <c r="J236" s="2"/>
      <c r="K236" s="63"/>
      <c r="L236" s="2"/>
      <c r="M236" s="2"/>
      <c r="N236" s="2"/>
      <c r="O236" s="2"/>
      <c r="P236" s="2"/>
      <c r="Q236" t="b">
        <f>G235=T235</f>
        <v>1</v>
      </c>
    </row>
    <row r="237" spans="2:20" ht="24.75" customHeight="1">
      <c r="B237" s="2"/>
      <c r="C237" s="312" t="s">
        <v>358</v>
      </c>
      <c r="D237" s="312"/>
      <c r="E237" s="312"/>
      <c r="F237" s="312"/>
      <c r="G237" s="312"/>
      <c r="H237" s="312"/>
      <c r="I237" s="312"/>
      <c r="J237" s="312"/>
      <c r="K237" s="312"/>
      <c r="L237" s="312"/>
      <c r="M237" s="312"/>
      <c r="N237" s="2"/>
      <c r="O237" s="2"/>
      <c r="P237" s="2"/>
    </row>
    <row r="238" spans="2:20" ht="31.5" customHeight="1">
      <c r="B238" s="306" t="s">
        <v>194</v>
      </c>
      <c r="C238" s="306" t="s">
        <v>2</v>
      </c>
      <c r="D238" s="373" t="s">
        <v>24</v>
      </c>
      <c r="E238" s="374"/>
      <c r="F238" s="306" t="s">
        <v>37</v>
      </c>
      <c r="G238" s="307" t="s">
        <v>241</v>
      </c>
      <c r="H238" s="197" t="s">
        <v>211</v>
      </c>
      <c r="I238" s="306" t="s">
        <v>196</v>
      </c>
      <c r="J238" s="306"/>
      <c r="K238" s="306"/>
      <c r="L238" s="306"/>
      <c r="M238" s="306"/>
      <c r="N238" s="306"/>
      <c r="O238" s="306"/>
      <c r="P238" s="60"/>
    </row>
    <row r="239" spans="2:20" ht="96.75" customHeight="1">
      <c r="B239" s="306"/>
      <c r="C239" s="306"/>
      <c r="D239" s="375"/>
      <c r="E239" s="376"/>
      <c r="F239" s="306"/>
      <c r="G239" s="307"/>
      <c r="H239" s="370" t="s">
        <v>242</v>
      </c>
      <c r="I239" s="306" t="s">
        <v>197</v>
      </c>
      <c r="J239" s="306"/>
      <c r="K239" s="319" t="s">
        <v>198</v>
      </c>
      <c r="L239" s="319"/>
      <c r="M239" s="309" t="s">
        <v>199</v>
      </c>
      <c r="N239" s="309" t="s">
        <v>200</v>
      </c>
      <c r="O239" s="309"/>
      <c r="P239" s="60"/>
    </row>
    <row r="240" spans="2:20" ht="31.5">
      <c r="B240" s="306"/>
      <c r="C240" s="306"/>
      <c r="D240" s="377"/>
      <c r="E240" s="378"/>
      <c r="F240" s="306"/>
      <c r="G240" s="307"/>
      <c r="H240" s="370"/>
      <c r="I240" s="306"/>
      <c r="J240" s="306"/>
      <c r="K240" s="319"/>
      <c r="L240" s="319"/>
      <c r="M240" s="309"/>
      <c r="N240" s="133" t="s">
        <v>14</v>
      </c>
      <c r="O240" s="133" t="s">
        <v>201</v>
      </c>
      <c r="P240" s="143"/>
    </row>
    <row r="241" spans="2:21" ht="15.75" customHeight="1">
      <c r="B241" s="125">
        <v>1</v>
      </c>
      <c r="C241" s="125">
        <v>2</v>
      </c>
      <c r="D241" s="366">
        <v>3</v>
      </c>
      <c r="E241" s="367"/>
      <c r="F241" s="125">
        <v>4</v>
      </c>
      <c r="G241" s="125">
        <v>5</v>
      </c>
      <c r="H241" s="197">
        <v>6</v>
      </c>
      <c r="I241" s="306">
        <v>7</v>
      </c>
      <c r="J241" s="306"/>
      <c r="K241" s="306">
        <v>8</v>
      </c>
      <c r="L241" s="306"/>
      <c r="M241" s="125">
        <v>9</v>
      </c>
      <c r="N241" s="125">
        <v>10</v>
      </c>
      <c r="O241" s="125">
        <v>11</v>
      </c>
      <c r="P241" s="143"/>
      <c r="U241" t="s">
        <v>343</v>
      </c>
    </row>
    <row r="242" spans="2:21" ht="33" hidden="1" customHeight="1">
      <c r="B242" s="134">
        <v>244</v>
      </c>
      <c r="C242" s="128" t="s">
        <v>202</v>
      </c>
      <c r="D242" s="393" t="s">
        <v>284</v>
      </c>
      <c r="E242" s="394"/>
      <c r="F242" s="134">
        <f>ROUND((H242/G242),0)</f>
        <v>0</v>
      </c>
      <c r="G242" s="130">
        <v>608.85</v>
      </c>
      <c r="H242" s="83"/>
      <c r="I242" s="300" t="s">
        <v>9</v>
      </c>
      <c r="J242" s="300"/>
      <c r="K242" s="300" t="s">
        <v>9</v>
      </c>
      <c r="L242" s="300"/>
      <c r="M242" s="128" t="s">
        <v>9</v>
      </c>
      <c r="N242" s="128" t="s">
        <v>9</v>
      </c>
      <c r="O242" s="128" t="s">
        <v>9</v>
      </c>
      <c r="P242" s="74"/>
      <c r="Q242" s="57" t="s">
        <v>316</v>
      </c>
      <c r="R242" s="57"/>
      <c r="S242" s="109" t="s">
        <v>305</v>
      </c>
      <c r="T242" s="177">
        <v>305780</v>
      </c>
    </row>
    <row r="243" spans="2:21" ht="17.25" customHeight="1">
      <c r="B243" s="134">
        <v>244</v>
      </c>
      <c r="C243" s="128">
        <v>1</v>
      </c>
      <c r="D243" s="393" t="s">
        <v>265</v>
      </c>
      <c r="E243" s="394"/>
      <c r="F243" s="171" t="s">
        <v>346</v>
      </c>
      <c r="G243" s="157">
        <f>11.45+12.21+78</f>
        <v>101.66</v>
      </c>
      <c r="H243" s="83">
        <f>SUM(H244:H245)</f>
        <v>1778352.6800000002</v>
      </c>
      <c r="I243" s="300" t="s">
        <v>9</v>
      </c>
      <c r="J243" s="300"/>
      <c r="K243" s="300" t="s">
        <v>9</v>
      </c>
      <c r="L243" s="300"/>
      <c r="M243" s="128" t="s">
        <v>9</v>
      </c>
      <c r="N243" s="128" t="s">
        <v>9</v>
      </c>
      <c r="O243" s="128" t="s">
        <v>9</v>
      </c>
      <c r="P243" s="74"/>
      <c r="Q243" s="57" t="s">
        <v>317</v>
      </c>
      <c r="R243" s="57"/>
      <c r="S243" s="109" t="s">
        <v>299</v>
      </c>
      <c r="T243" s="109">
        <v>965219.68</v>
      </c>
    </row>
    <row r="244" spans="2:21" ht="18.75" customHeight="1">
      <c r="B244" s="171">
        <v>244</v>
      </c>
      <c r="C244" s="238" t="s">
        <v>27</v>
      </c>
      <c r="D244" s="391" t="s">
        <v>344</v>
      </c>
      <c r="E244" s="392"/>
      <c r="F244" s="171">
        <f t="shared" ref="F244:F253" si="8">ROUND((H244/G244),0)</f>
        <v>34529</v>
      </c>
      <c r="G244" s="171">
        <f>11.45+12.21</f>
        <v>23.66</v>
      </c>
      <c r="H244" s="83">
        <v>816966.68</v>
      </c>
      <c r="I244" s="300" t="s">
        <v>9</v>
      </c>
      <c r="J244" s="300"/>
      <c r="K244" s="300" t="s">
        <v>9</v>
      </c>
      <c r="L244" s="300"/>
      <c r="M244" s="172" t="s">
        <v>9</v>
      </c>
      <c r="N244" s="172" t="s">
        <v>9</v>
      </c>
      <c r="O244" s="172" t="s">
        <v>9</v>
      </c>
      <c r="P244" s="74"/>
      <c r="Q244" s="57"/>
      <c r="R244" s="57"/>
      <c r="S244" s="109"/>
      <c r="T244" s="109"/>
    </row>
    <row r="245" spans="2:21" ht="18.75" customHeight="1">
      <c r="B245" s="171">
        <v>244</v>
      </c>
      <c r="C245" s="238" t="s">
        <v>28</v>
      </c>
      <c r="D245" s="391" t="s">
        <v>345</v>
      </c>
      <c r="E245" s="392"/>
      <c r="F245" s="171">
        <f t="shared" si="8"/>
        <v>11292</v>
      </c>
      <c r="G245" s="171">
        <v>85.14</v>
      </c>
      <c r="H245" s="83">
        <v>961386</v>
      </c>
      <c r="I245" s="300" t="s">
        <v>9</v>
      </c>
      <c r="J245" s="300"/>
      <c r="K245" s="300" t="s">
        <v>9</v>
      </c>
      <c r="L245" s="300"/>
      <c r="M245" s="172" t="s">
        <v>9</v>
      </c>
      <c r="N245" s="172" t="s">
        <v>9</v>
      </c>
      <c r="O245" s="172" t="s">
        <v>9</v>
      </c>
      <c r="P245" s="74"/>
      <c r="Q245" s="57"/>
      <c r="R245" s="57"/>
      <c r="S245" s="109"/>
      <c r="T245" s="109"/>
    </row>
    <row r="246" spans="2:21" ht="33" customHeight="1">
      <c r="B246" s="134">
        <v>244</v>
      </c>
      <c r="C246" s="128">
        <v>2</v>
      </c>
      <c r="D246" s="391" t="s">
        <v>266</v>
      </c>
      <c r="E246" s="392"/>
      <c r="F246" s="134">
        <f t="shared" si="8"/>
        <v>3012</v>
      </c>
      <c r="G246" s="128">
        <v>44.15</v>
      </c>
      <c r="H246" s="83">
        <v>133000</v>
      </c>
      <c r="I246" s="300" t="s">
        <v>9</v>
      </c>
      <c r="J246" s="300"/>
      <c r="K246" s="300" t="s">
        <v>9</v>
      </c>
      <c r="L246" s="300"/>
      <c r="M246" s="128" t="s">
        <v>9</v>
      </c>
      <c r="N246" s="128" t="s">
        <v>9</v>
      </c>
      <c r="O246" s="128" t="s">
        <v>9</v>
      </c>
      <c r="P246" s="74"/>
      <c r="Q246" s="57" t="s">
        <v>318</v>
      </c>
      <c r="R246" s="57"/>
      <c r="S246" s="109" t="s">
        <v>314</v>
      </c>
      <c r="T246" s="110">
        <v>699353</v>
      </c>
    </row>
    <row r="247" spans="2:21" ht="31.5" hidden="1" customHeight="1">
      <c r="B247" s="134">
        <v>244</v>
      </c>
      <c r="C247" s="128">
        <v>3</v>
      </c>
      <c r="D247" s="391" t="s">
        <v>315</v>
      </c>
      <c r="E247" s="392"/>
      <c r="F247" s="270">
        <f t="shared" si="8"/>
        <v>0</v>
      </c>
      <c r="G247" s="130">
        <v>554.4</v>
      </c>
      <c r="H247" s="83">
        <v>0</v>
      </c>
      <c r="I247" s="300" t="s">
        <v>9</v>
      </c>
      <c r="J247" s="300"/>
      <c r="K247" s="300" t="s">
        <v>9</v>
      </c>
      <c r="L247" s="300"/>
      <c r="M247" s="128" t="s">
        <v>9</v>
      </c>
      <c r="N247" s="128" t="s">
        <v>9</v>
      </c>
      <c r="O247" s="128" t="s">
        <v>9</v>
      </c>
      <c r="P247" s="143"/>
      <c r="Q247" s="57" t="s">
        <v>319</v>
      </c>
      <c r="R247" s="57"/>
      <c r="S247" s="109" t="s">
        <v>7</v>
      </c>
      <c r="T247" s="176">
        <f>SUM(T242:T246)</f>
        <v>1970352.6800000002</v>
      </c>
      <c r="U247">
        <f>SUM(U242:U246)</f>
        <v>0</v>
      </c>
    </row>
    <row r="248" spans="2:21" ht="30.75" customHeight="1">
      <c r="B248" s="134">
        <v>244</v>
      </c>
      <c r="C248" s="128">
        <v>3</v>
      </c>
      <c r="D248" s="391" t="s">
        <v>285</v>
      </c>
      <c r="E248" s="392"/>
      <c r="F248" s="270">
        <f t="shared" si="8"/>
        <v>67</v>
      </c>
      <c r="G248" s="128">
        <v>150</v>
      </c>
      <c r="H248" s="83">
        <v>10000</v>
      </c>
      <c r="I248" s="300" t="s">
        <v>9</v>
      </c>
      <c r="J248" s="300"/>
      <c r="K248" s="300" t="s">
        <v>9</v>
      </c>
      <c r="L248" s="300"/>
      <c r="M248" s="128" t="s">
        <v>9</v>
      </c>
      <c r="N248" s="128" t="s">
        <v>9</v>
      </c>
      <c r="O248" s="128" t="s">
        <v>9</v>
      </c>
      <c r="P248" s="74"/>
      <c r="Q248" s="57" t="s">
        <v>320</v>
      </c>
      <c r="R248" s="57"/>
      <c r="T248" t="b">
        <f>H260=U248</f>
        <v>1</v>
      </c>
      <c r="U248" s="112">
        <f>T247+U247</f>
        <v>1970352.6800000002</v>
      </c>
    </row>
    <row r="249" spans="2:21" ht="18" hidden="1" customHeight="1">
      <c r="B249" s="134">
        <v>244</v>
      </c>
      <c r="C249" s="238" t="s">
        <v>362</v>
      </c>
      <c r="D249" s="379" t="s">
        <v>409</v>
      </c>
      <c r="E249" s="380"/>
      <c r="F249" s="134">
        <v>1</v>
      </c>
      <c r="G249" s="130">
        <v>0</v>
      </c>
      <c r="H249" s="83">
        <f>G249</f>
        <v>0</v>
      </c>
      <c r="I249" s="300" t="s">
        <v>9</v>
      </c>
      <c r="J249" s="300"/>
      <c r="K249" s="300" t="s">
        <v>9</v>
      </c>
      <c r="L249" s="300"/>
      <c r="M249" s="128" t="s">
        <v>9</v>
      </c>
      <c r="N249" s="128" t="s">
        <v>9</v>
      </c>
      <c r="O249" s="128" t="s">
        <v>9</v>
      </c>
      <c r="P249" s="74"/>
    </row>
    <row r="250" spans="2:21" ht="20.25" hidden="1" customHeight="1">
      <c r="B250" s="134">
        <v>244</v>
      </c>
      <c r="C250" s="238" t="s">
        <v>389</v>
      </c>
      <c r="D250" s="391" t="s">
        <v>286</v>
      </c>
      <c r="E250" s="392"/>
      <c r="F250" s="134" t="e">
        <f t="shared" si="8"/>
        <v>#DIV/0!</v>
      </c>
      <c r="G250" s="271">
        <v>0</v>
      </c>
      <c r="H250" s="83">
        <f t="shared" ref="H250:H258" si="9">G250</f>
        <v>0</v>
      </c>
      <c r="I250" s="300" t="s">
        <v>9</v>
      </c>
      <c r="J250" s="300"/>
      <c r="K250" s="300" t="s">
        <v>9</v>
      </c>
      <c r="L250" s="300"/>
      <c r="M250" s="128" t="s">
        <v>9</v>
      </c>
      <c r="N250" s="128" t="s">
        <v>9</v>
      </c>
      <c r="O250" s="128" t="s">
        <v>9</v>
      </c>
      <c r="P250" s="74"/>
    </row>
    <row r="251" spans="2:21" ht="17.25" hidden="1" customHeight="1">
      <c r="B251" s="134">
        <v>244</v>
      </c>
      <c r="C251" s="238" t="s">
        <v>390</v>
      </c>
      <c r="D251" s="379" t="s">
        <v>401</v>
      </c>
      <c r="E251" s="380"/>
      <c r="F251" s="134" t="e">
        <f t="shared" si="8"/>
        <v>#DIV/0!</v>
      </c>
      <c r="G251" s="271">
        <v>0</v>
      </c>
      <c r="H251" s="83">
        <f t="shared" si="9"/>
        <v>0</v>
      </c>
      <c r="I251" s="300" t="s">
        <v>9</v>
      </c>
      <c r="J251" s="300"/>
      <c r="K251" s="300" t="s">
        <v>9</v>
      </c>
      <c r="L251" s="300"/>
      <c r="M251" s="128" t="s">
        <v>9</v>
      </c>
      <c r="N251" s="128" t="s">
        <v>9</v>
      </c>
      <c r="O251" s="128" t="s">
        <v>9</v>
      </c>
      <c r="P251" s="74"/>
    </row>
    <row r="252" spans="2:21" ht="19.5" hidden="1" customHeight="1">
      <c r="B252" s="134">
        <v>244</v>
      </c>
      <c r="C252" s="251" t="s">
        <v>391</v>
      </c>
      <c r="D252" s="379" t="s">
        <v>400</v>
      </c>
      <c r="E252" s="380"/>
      <c r="F252" s="134" t="e">
        <f t="shared" si="8"/>
        <v>#DIV/0!</v>
      </c>
      <c r="G252" s="271">
        <v>0</v>
      </c>
      <c r="H252" s="83">
        <f t="shared" si="9"/>
        <v>0</v>
      </c>
      <c r="I252" s="300" t="s">
        <v>9</v>
      </c>
      <c r="J252" s="300"/>
      <c r="K252" s="300" t="s">
        <v>9</v>
      </c>
      <c r="L252" s="300"/>
      <c r="M252" s="128" t="s">
        <v>9</v>
      </c>
      <c r="N252" s="128" t="s">
        <v>9</v>
      </c>
      <c r="O252" s="128" t="s">
        <v>9</v>
      </c>
      <c r="P252" s="143"/>
    </row>
    <row r="253" spans="2:21" ht="19.5" hidden="1" customHeight="1">
      <c r="B253" s="134">
        <v>244</v>
      </c>
      <c r="C253" s="251" t="s">
        <v>392</v>
      </c>
      <c r="D253" s="379" t="s">
        <v>322</v>
      </c>
      <c r="E253" s="380"/>
      <c r="F253" s="134" t="e">
        <f t="shared" si="8"/>
        <v>#DIV/0!</v>
      </c>
      <c r="G253" s="271">
        <v>0</v>
      </c>
      <c r="H253" s="83">
        <f t="shared" si="9"/>
        <v>0</v>
      </c>
      <c r="I253" s="300" t="s">
        <v>9</v>
      </c>
      <c r="J253" s="300"/>
      <c r="K253" s="300" t="s">
        <v>9</v>
      </c>
      <c r="L253" s="300"/>
      <c r="M253" s="128" t="s">
        <v>9</v>
      </c>
      <c r="N253" s="128" t="s">
        <v>9</v>
      </c>
      <c r="O253" s="128" t="s">
        <v>9</v>
      </c>
      <c r="P253" s="143"/>
    </row>
    <row r="254" spans="2:21" ht="21.75" hidden="1" customHeight="1">
      <c r="B254" s="239" t="s">
        <v>388</v>
      </c>
      <c r="C254" s="251" t="s">
        <v>393</v>
      </c>
      <c r="D254" s="379" t="s">
        <v>386</v>
      </c>
      <c r="E254" s="380"/>
      <c r="F254" s="239">
        <v>1</v>
      </c>
      <c r="G254" s="271">
        <v>0</v>
      </c>
      <c r="H254" s="83">
        <f t="shared" si="9"/>
        <v>0</v>
      </c>
      <c r="I254" s="298" t="s">
        <v>346</v>
      </c>
      <c r="J254" s="299"/>
      <c r="K254" s="298" t="s">
        <v>346</v>
      </c>
      <c r="L254" s="299"/>
      <c r="M254" s="238" t="s">
        <v>346</v>
      </c>
      <c r="N254" s="238" t="s">
        <v>346</v>
      </c>
      <c r="O254" s="238" t="s">
        <v>346</v>
      </c>
      <c r="P254" s="240"/>
    </row>
    <row r="255" spans="2:21" ht="19.5" hidden="1" customHeight="1">
      <c r="B255" s="239">
        <v>244</v>
      </c>
      <c r="C255" s="251" t="s">
        <v>394</v>
      </c>
      <c r="D255" s="379" t="s">
        <v>387</v>
      </c>
      <c r="E255" s="380"/>
      <c r="F255" s="239">
        <v>1</v>
      </c>
      <c r="G255" s="271">
        <v>0</v>
      </c>
      <c r="H255" s="83">
        <f t="shared" si="9"/>
        <v>0</v>
      </c>
      <c r="I255" s="298" t="s">
        <v>346</v>
      </c>
      <c r="J255" s="299"/>
      <c r="K255" s="298" t="s">
        <v>346</v>
      </c>
      <c r="L255" s="299"/>
      <c r="M255" s="238" t="s">
        <v>346</v>
      </c>
      <c r="N255" s="238" t="s">
        <v>346</v>
      </c>
      <c r="O255" s="238" t="s">
        <v>346</v>
      </c>
      <c r="P255" s="240"/>
    </row>
    <row r="256" spans="2:21" ht="37.5" hidden="1" customHeight="1">
      <c r="B256" s="239">
        <v>244</v>
      </c>
      <c r="C256" s="251" t="s">
        <v>402</v>
      </c>
      <c r="D256" s="379" t="s">
        <v>408</v>
      </c>
      <c r="E256" s="380"/>
      <c r="F256" s="239">
        <v>1</v>
      </c>
      <c r="G256" s="271">
        <v>0</v>
      </c>
      <c r="H256" s="83">
        <f t="shared" si="9"/>
        <v>0</v>
      </c>
      <c r="I256" s="298" t="s">
        <v>346</v>
      </c>
      <c r="J256" s="299"/>
      <c r="K256" s="298" t="s">
        <v>346</v>
      </c>
      <c r="L256" s="299"/>
      <c r="M256" s="238" t="s">
        <v>346</v>
      </c>
      <c r="N256" s="238" t="s">
        <v>346</v>
      </c>
      <c r="O256" s="238" t="s">
        <v>346</v>
      </c>
      <c r="P256" s="240"/>
    </row>
    <row r="257" spans="2:21" ht="27.75" hidden="1" customHeight="1">
      <c r="B257" s="264">
        <v>244</v>
      </c>
      <c r="C257" s="263" t="s">
        <v>410</v>
      </c>
      <c r="D257" s="379" t="s">
        <v>411</v>
      </c>
      <c r="E257" s="380"/>
      <c r="F257" s="264">
        <v>1</v>
      </c>
      <c r="G257" s="271">
        <v>0</v>
      </c>
      <c r="H257" s="83">
        <f t="shared" si="9"/>
        <v>0</v>
      </c>
      <c r="I257" s="298" t="s">
        <v>346</v>
      </c>
      <c r="J257" s="299"/>
      <c r="K257" s="298" t="s">
        <v>346</v>
      </c>
      <c r="L257" s="299"/>
      <c r="M257" s="267" t="s">
        <v>346</v>
      </c>
      <c r="N257" s="267" t="s">
        <v>346</v>
      </c>
      <c r="O257" s="267" t="s">
        <v>346</v>
      </c>
      <c r="P257" s="265"/>
    </row>
    <row r="258" spans="2:21" ht="26.25" hidden="1" customHeight="1">
      <c r="B258" s="264">
        <v>244</v>
      </c>
      <c r="C258" s="263">
        <v>5</v>
      </c>
      <c r="D258" s="379" t="s">
        <v>407</v>
      </c>
      <c r="E258" s="380"/>
      <c r="F258" s="264">
        <v>1</v>
      </c>
      <c r="G258" s="271">
        <v>0</v>
      </c>
      <c r="H258" s="83">
        <f t="shared" si="9"/>
        <v>0</v>
      </c>
      <c r="I258" s="298" t="s">
        <v>346</v>
      </c>
      <c r="J258" s="299"/>
      <c r="K258" s="298" t="s">
        <v>346</v>
      </c>
      <c r="L258" s="299"/>
      <c r="M258" s="263" t="s">
        <v>346</v>
      </c>
      <c r="N258" s="263" t="s">
        <v>346</v>
      </c>
      <c r="O258" s="263" t="s">
        <v>346</v>
      </c>
      <c r="P258" s="265"/>
      <c r="Q258" s="57" t="s">
        <v>321</v>
      </c>
    </row>
    <row r="259" spans="2:21" ht="30.75" customHeight="1">
      <c r="B259" s="134">
        <v>244</v>
      </c>
      <c r="C259" s="128">
        <v>4</v>
      </c>
      <c r="D259" s="379" t="s">
        <v>428</v>
      </c>
      <c r="E259" s="380"/>
      <c r="F259" s="174">
        <v>1</v>
      </c>
      <c r="G259" s="134">
        <v>49000</v>
      </c>
      <c r="H259" s="83">
        <f t="shared" ref="H259" si="10">G259</f>
        <v>49000</v>
      </c>
      <c r="I259" s="300" t="s">
        <v>9</v>
      </c>
      <c r="J259" s="300"/>
      <c r="K259" s="300" t="s">
        <v>9</v>
      </c>
      <c r="L259" s="300"/>
      <c r="M259" s="128" t="s">
        <v>9</v>
      </c>
      <c r="N259" s="128" t="s">
        <v>9</v>
      </c>
      <c r="O259" s="128" t="s">
        <v>9</v>
      </c>
      <c r="P259" s="74"/>
      <c r="Q259" s="57" t="s">
        <v>321</v>
      </c>
      <c r="R259" s="57"/>
    </row>
    <row r="260" spans="2:21" ht="15.75" customHeight="1">
      <c r="B260" s="105"/>
      <c r="C260" s="381" t="s">
        <v>23</v>
      </c>
      <c r="D260" s="382"/>
      <c r="E260" s="383"/>
      <c r="F260" s="85" t="s">
        <v>9</v>
      </c>
      <c r="G260" s="85" t="s">
        <v>9</v>
      </c>
      <c r="H260" s="212">
        <f>H243+H246+H247+H248+H259+H258</f>
        <v>1970352.6800000002</v>
      </c>
      <c r="I260" s="390">
        <f>T242</f>
        <v>305780</v>
      </c>
      <c r="J260" s="390"/>
      <c r="K260" s="390">
        <f>T246</f>
        <v>699353</v>
      </c>
      <c r="L260" s="390"/>
      <c r="M260" s="213">
        <v>0</v>
      </c>
      <c r="N260" s="213">
        <f>T243+U243</f>
        <v>965219.68</v>
      </c>
      <c r="O260" s="149">
        <v>0</v>
      </c>
      <c r="P260" s="60"/>
      <c r="Q260" s="57" t="s">
        <v>312</v>
      </c>
      <c r="R260" s="57"/>
      <c r="S260" s="112">
        <f>SUM(I260:N260)</f>
        <v>1970352.6800000002</v>
      </c>
      <c r="U260" s="112">
        <f>H260-S260</f>
        <v>0</v>
      </c>
    </row>
    <row r="261" spans="2:21" ht="15.75" customHeight="1">
      <c r="B261" s="2"/>
      <c r="C261" s="2"/>
      <c r="D261" s="2"/>
      <c r="E261" s="2"/>
      <c r="F261" s="2"/>
      <c r="G261" s="257"/>
      <c r="H261" s="185"/>
      <c r="I261" s="2"/>
      <c r="J261" s="2"/>
      <c r="K261" s="63"/>
      <c r="L261" s="2"/>
      <c r="M261" s="2"/>
      <c r="N261" s="2"/>
      <c r="O261" s="2"/>
      <c r="P261" s="2"/>
      <c r="S261" t="b">
        <f>S260=H260</f>
        <v>1</v>
      </c>
      <c r="T261" s="112"/>
    </row>
    <row r="262" spans="2:21" ht="15" customHeight="1"/>
    <row r="263" spans="2:21" ht="15" customHeight="1"/>
    <row r="264" spans="2:21" ht="15" customHeight="1"/>
    <row r="265" spans="2:21" ht="15" customHeight="1"/>
    <row r="266" spans="2:21" ht="15" customHeight="1">
      <c r="D266" s="112">
        <f>F266-H266</f>
        <v>0</v>
      </c>
      <c r="E266" s="109" t="s">
        <v>323</v>
      </c>
      <c r="F266" s="111">
        <f>L17+G26+I35+I44+H59+H70+I82+F91+F101+H112+H121+I132+H141+J154+H177+H204+H213+H235+I260</f>
        <v>19922004</v>
      </c>
      <c r="G266" t="b">
        <f>F266=H266</f>
        <v>1</v>
      </c>
      <c r="H266" s="249">
        <f>'Раздел 1'!D15+'Раздел 1'!D30</f>
        <v>19922004</v>
      </c>
      <c r="I266" s="163" t="s">
        <v>331</v>
      </c>
      <c r="J266">
        <v>111</v>
      </c>
      <c r="K266" s="98">
        <f>K17+E26</f>
        <v>14184442</v>
      </c>
      <c r="L266" s="10">
        <f>'Раздел 1'!D33</f>
        <v>14184442</v>
      </c>
      <c r="M266" t="b">
        <f>K266=L266</f>
        <v>1</v>
      </c>
      <c r="N266" s="10">
        <f>K266-L266</f>
        <v>0</v>
      </c>
    </row>
    <row r="267" spans="2:21" ht="15" customHeight="1">
      <c r="D267" s="112"/>
      <c r="E267" s="109" t="s">
        <v>314</v>
      </c>
      <c r="F267" s="111">
        <f>M17+I26+K35+K44+J59+J70+K82+H91+H101+J112+J121+K132+J141+L154+J177+J204+J213+J235+K260</f>
        <v>1978544</v>
      </c>
      <c r="G267" t="b">
        <f>F267=H267</f>
        <v>1</v>
      </c>
      <c r="H267" s="203">
        <f>'Раздел 1'!D20</f>
        <v>1978544</v>
      </c>
      <c r="J267">
        <v>112</v>
      </c>
      <c r="K267" s="164">
        <f>H35</f>
        <v>0</v>
      </c>
      <c r="L267" s="10">
        <f>'Раздел 1'!D34</f>
        <v>10000</v>
      </c>
      <c r="M267" t="b">
        <f t="shared" ref="M267:M275" si="11">K267=L267</f>
        <v>0</v>
      </c>
      <c r="N267" s="10">
        <f t="shared" ref="N267:N272" si="12">K267-L267</f>
        <v>-10000</v>
      </c>
    </row>
    <row r="268" spans="2:21" ht="15" customHeight="1">
      <c r="D268" s="112">
        <f>H268-F268</f>
        <v>0</v>
      </c>
      <c r="E268" s="109" t="s">
        <v>299</v>
      </c>
      <c r="F268" s="110">
        <f>O17+L26+N35+N44+M59+M70+N82+K91+K101+N112+N121+N132+M141+O154+M177+M204+M213+M235+N260</f>
        <v>987969.68</v>
      </c>
      <c r="G268" t="b">
        <f>F268=H268</f>
        <v>1</v>
      </c>
      <c r="H268" s="203">
        <f>'Раздел 1'!D16+F274</f>
        <v>987969.68</v>
      </c>
      <c r="J268">
        <v>113</v>
      </c>
      <c r="K268" s="64">
        <f>H44</f>
        <v>0</v>
      </c>
      <c r="L268" s="10">
        <f>'Раздел 1'!D35</f>
        <v>0</v>
      </c>
      <c r="M268" t="b">
        <f t="shared" si="11"/>
        <v>1</v>
      </c>
      <c r="N268" s="10">
        <f t="shared" si="12"/>
        <v>0</v>
      </c>
    </row>
    <row r="269" spans="2:21" ht="15" customHeight="1">
      <c r="E269" s="109" t="s">
        <v>7</v>
      </c>
      <c r="F269" s="110">
        <f>SUM(F266:F268)</f>
        <v>22888517.68</v>
      </c>
      <c r="G269" s="110">
        <f t="shared" ref="G269:H269" si="13">SUM(G266:G268)</f>
        <v>0</v>
      </c>
      <c r="H269" s="204">
        <f t="shared" si="13"/>
        <v>22888517.68</v>
      </c>
      <c r="J269">
        <v>119</v>
      </c>
      <c r="K269" s="164">
        <f>G59</f>
        <v>4283722</v>
      </c>
      <c r="L269" s="10">
        <f>'Раздел 1'!D36</f>
        <v>4283722</v>
      </c>
      <c r="M269" t="b">
        <f t="shared" si="11"/>
        <v>1</v>
      </c>
      <c r="N269" s="10">
        <f t="shared" si="12"/>
        <v>0</v>
      </c>
    </row>
    <row r="270" spans="2:21" ht="15" customHeight="1">
      <c r="J270">
        <v>851</v>
      </c>
      <c r="K270" s="164">
        <f>H82</f>
        <v>18020</v>
      </c>
      <c r="L270" s="10">
        <f>'Раздел 1'!D47</f>
        <v>18020</v>
      </c>
      <c r="M270" t="b">
        <f t="shared" si="11"/>
        <v>1</v>
      </c>
      <c r="N270" s="10">
        <f t="shared" si="12"/>
        <v>0</v>
      </c>
    </row>
    <row r="271" spans="2:21" ht="15" customHeight="1">
      <c r="J271">
        <v>852</v>
      </c>
      <c r="K271" s="164">
        <f>E91</f>
        <v>0</v>
      </c>
      <c r="L271" s="10">
        <f>'Раздел 1'!D48</f>
        <v>0</v>
      </c>
      <c r="M271" t="b">
        <f t="shared" si="11"/>
        <v>1</v>
      </c>
      <c r="N271" s="10">
        <f t="shared" si="12"/>
        <v>0</v>
      </c>
    </row>
    <row r="272" spans="2:21" ht="15" customHeight="1">
      <c r="J272">
        <v>853</v>
      </c>
      <c r="K272" s="164">
        <f>E101</f>
        <v>0</v>
      </c>
      <c r="L272" s="10">
        <f>'Раздел 1'!D49</f>
        <v>0</v>
      </c>
      <c r="M272" t="b">
        <f t="shared" si="11"/>
        <v>1</v>
      </c>
      <c r="N272" s="10">
        <f t="shared" si="12"/>
        <v>0</v>
      </c>
    </row>
    <row r="273" spans="5:14" ht="15" customHeight="1">
      <c r="J273">
        <v>243</v>
      </c>
      <c r="K273" s="164">
        <f>G112+G121</f>
        <v>0</v>
      </c>
      <c r="L273" s="10"/>
      <c r="M273" t="b">
        <f t="shared" si="11"/>
        <v>1</v>
      </c>
    </row>
    <row r="274" spans="5:14" ht="15" customHeight="1">
      <c r="E274" s="163" t="s">
        <v>429</v>
      </c>
      <c r="F274" s="169">
        <v>50013.68</v>
      </c>
      <c r="J274">
        <v>244</v>
      </c>
      <c r="K274" s="98">
        <f>H132+G141+I154+G177+G204+G213+G235+H260</f>
        <v>4402333.68</v>
      </c>
      <c r="L274" s="10">
        <f>'Раздел 1'!D55</f>
        <v>4392333.68</v>
      </c>
      <c r="M274" t="b">
        <f t="shared" si="11"/>
        <v>0</v>
      </c>
      <c r="N274" s="10">
        <f>K274-L274</f>
        <v>10000</v>
      </c>
    </row>
    <row r="275" spans="5:14" ht="15" customHeight="1">
      <c r="J275" t="s">
        <v>332</v>
      </c>
      <c r="K275" s="98">
        <f>SUM(K266:K274)</f>
        <v>22888517.68</v>
      </c>
      <c r="L275" s="98">
        <f>SUM(L266:L274)</f>
        <v>22888517.68</v>
      </c>
      <c r="M275" t="b">
        <f t="shared" si="11"/>
        <v>1</v>
      </c>
      <c r="N275" s="10">
        <f>L275-K275</f>
        <v>0</v>
      </c>
    </row>
    <row r="276" spans="5:14" ht="15" customHeight="1">
      <c r="K276" s="64" t="b">
        <f>F269=K275</f>
        <v>1</v>
      </c>
      <c r="L276" s="10"/>
    </row>
    <row r="277" spans="5:14" ht="15" customHeight="1">
      <c r="K277" s="64" t="b">
        <f>K275=H269</f>
        <v>1</v>
      </c>
    </row>
    <row r="278" spans="5:14" ht="15" customHeight="1"/>
    <row r="279" spans="5:14" ht="15" customHeight="1"/>
    <row r="280" spans="5:14" ht="15" customHeight="1"/>
    <row r="281" spans="5:14" ht="15" customHeight="1"/>
    <row r="282" spans="5:14" ht="15" customHeight="1"/>
    <row r="283" spans="5:14" ht="15" customHeight="1"/>
    <row r="284" spans="5:14" ht="15" customHeight="1"/>
    <row r="285" spans="5:14" ht="15" customHeight="1"/>
    <row r="286" spans="5:14" ht="15" customHeight="1"/>
    <row r="287" spans="5:14" ht="15" customHeight="1"/>
    <row r="288" spans="5:14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  <row r="399753" ht="15" customHeight="1"/>
    <row r="399754" ht="15" customHeight="1"/>
    <row r="399755" ht="15" customHeight="1"/>
    <row r="399756" ht="15" customHeight="1"/>
    <row r="399757" ht="15" customHeight="1"/>
    <row r="399758" ht="15" customHeight="1"/>
    <row r="399759" ht="15" customHeight="1"/>
    <row r="399760" ht="15" customHeight="1"/>
    <row r="399761" ht="15" customHeight="1"/>
  </sheetData>
  <mergeCells count="542">
    <mergeCell ref="D251:E251"/>
    <mergeCell ref="I251:J251"/>
    <mergeCell ref="K251:L251"/>
    <mergeCell ref="D252:E252"/>
    <mergeCell ref="I252:J252"/>
    <mergeCell ref="K252:L252"/>
    <mergeCell ref="H233:I233"/>
    <mergeCell ref="H167:I167"/>
    <mergeCell ref="H168:I168"/>
    <mergeCell ref="J167:K167"/>
    <mergeCell ref="J168:K168"/>
    <mergeCell ref="D215:N215"/>
    <mergeCell ref="H203:I203"/>
    <mergeCell ref="J203:K203"/>
    <mergeCell ref="C204:D204"/>
    <mergeCell ref="H204:I204"/>
    <mergeCell ref="J204:K204"/>
    <mergeCell ref="H211:I211"/>
    <mergeCell ref="J233:K233"/>
    <mergeCell ref="D249:E249"/>
    <mergeCell ref="I249:J249"/>
    <mergeCell ref="K249:L249"/>
    <mergeCell ref="D250:E250"/>
    <mergeCell ref="I250:J250"/>
    <mergeCell ref="J166:K166"/>
    <mergeCell ref="H166:I166"/>
    <mergeCell ref="H202:I202"/>
    <mergeCell ref="J202:K202"/>
    <mergeCell ref="H165:I165"/>
    <mergeCell ref="J165:K165"/>
    <mergeCell ref="J172:K172"/>
    <mergeCell ref="H172:I172"/>
    <mergeCell ref="J185:K185"/>
    <mergeCell ref="C179:M179"/>
    <mergeCell ref="J173:K173"/>
    <mergeCell ref="H174:I174"/>
    <mergeCell ref="J174:K174"/>
    <mergeCell ref="H175:I175"/>
    <mergeCell ref="J175:K175"/>
    <mergeCell ref="H176:I176"/>
    <mergeCell ref="J176:K176"/>
    <mergeCell ref="C177:D177"/>
    <mergeCell ref="H177:I177"/>
    <mergeCell ref="J177:K177"/>
    <mergeCell ref="H200:I200"/>
    <mergeCell ref="J200:K200"/>
    <mergeCell ref="H201:I201"/>
    <mergeCell ref="J201:K201"/>
    <mergeCell ref="K250:L250"/>
    <mergeCell ref="D248:E248"/>
    <mergeCell ref="I248:J248"/>
    <mergeCell ref="K248:L248"/>
    <mergeCell ref="D243:E243"/>
    <mergeCell ref="I243:J243"/>
    <mergeCell ref="K246:L246"/>
    <mergeCell ref="D241:E241"/>
    <mergeCell ref="I241:J241"/>
    <mergeCell ref="K241:L241"/>
    <mergeCell ref="D242:E242"/>
    <mergeCell ref="I242:J242"/>
    <mergeCell ref="K242:L242"/>
    <mergeCell ref="D247:E247"/>
    <mergeCell ref="I247:J247"/>
    <mergeCell ref="K247:L247"/>
    <mergeCell ref="D244:E244"/>
    <mergeCell ref="D245:E245"/>
    <mergeCell ref="I244:J244"/>
    <mergeCell ref="K244:L244"/>
    <mergeCell ref="I245:J245"/>
    <mergeCell ref="K245:L245"/>
    <mergeCell ref="K243:L243"/>
    <mergeCell ref="D246:E246"/>
    <mergeCell ref="D259:E259"/>
    <mergeCell ref="I259:J259"/>
    <mergeCell ref="K259:L259"/>
    <mergeCell ref="C260:E260"/>
    <mergeCell ref="I260:J260"/>
    <mergeCell ref="K260:L260"/>
    <mergeCell ref="D253:E253"/>
    <mergeCell ref="I253:J253"/>
    <mergeCell ref="K253:L253"/>
    <mergeCell ref="D256:E256"/>
    <mergeCell ref="D254:E254"/>
    <mergeCell ref="I254:J254"/>
    <mergeCell ref="K254:L254"/>
    <mergeCell ref="I256:J256"/>
    <mergeCell ref="K256:L256"/>
    <mergeCell ref="I255:J255"/>
    <mergeCell ref="K255:L255"/>
    <mergeCell ref="D255:E255"/>
    <mergeCell ref="D258:E258"/>
    <mergeCell ref="I258:J258"/>
    <mergeCell ref="K258:L258"/>
    <mergeCell ref="D257:E257"/>
    <mergeCell ref="I257:J257"/>
    <mergeCell ref="K257:L257"/>
    <mergeCell ref="I246:J246"/>
    <mergeCell ref="H234:I234"/>
    <mergeCell ref="J234:K234"/>
    <mergeCell ref="C235:D235"/>
    <mergeCell ref="H235:I235"/>
    <mergeCell ref="J235:K235"/>
    <mergeCell ref="G228:G229"/>
    <mergeCell ref="H228:I229"/>
    <mergeCell ref="J228:K229"/>
    <mergeCell ref="H230:I230"/>
    <mergeCell ref="J230:K230"/>
    <mergeCell ref="C237:M237"/>
    <mergeCell ref="B238:B240"/>
    <mergeCell ref="C238:C240"/>
    <mergeCell ref="D238:E240"/>
    <mergeCell ref="F238:F240"/>
    <mergeCell ref="G238:G240"/>
    <mergeCell ref="I238:O238"/>
    <mergeCell ref="H239:H240"/>
    <mergeCell ref="I239:J240"/>
    <mergeCell ref="K239:L240"/>
    <mergeCell ref="M239:M240"/>
    <mergeCell ref="N239:O239"/>
    <mergeCell ref="B227:B229"/>
    <mergeCell ref="C227:C229"/>
    <mergeCell ref="D227:D229"/>
    <mergeCell ref="E227:E229"/>
    <mergeCell ref="F227:F229"/>
    <mergeCell ref="H227:N227"/>
    <mergeCell ref="H231:I231"/>
    <mergeCell ref="J231:K231"/>
    <mergeCell ref="H232:I232"/>
    <mergeCell ref="J232:K232"/>
    <mergeCell ref="G218:G219"/>
    <mergeCell ref="H218:I219"/>
    <mergeCell ref="J218:K219"/>
    <mergeCell ref="L218:L219"/>
    <mergeCell ref="M218:N218"/>
    <mergeCell ref="L228:L229"/>
    <mergeCell ref="M228:N228"/>
    <mergeCell ref="H220:I220"/>
    <mergeCell ref="J220:K220"/>
    <mergeCell ref="H221:I221"/>
    <mergeCell ref="C222:D222"/>
    <mergeCell ref="H222:I222"/>
    <mergeCell ref="J222:K222"/>
    <mergeCell ref="C225:M225"/>
    <mergeCell ref="J221:K221"/>
    <mergeCell ref="B208:B210"/>
    <mergeCell ref="C208:C210"/>
    <mergeCell ref="D208:D210"/>
    <mergeCell ref="E208:E210"/>
    <mergeCell ref="F208:F210"/>
    <mergeCell ref="H208:N208"/>
    <mergeCell ref="G209:G210"/>
    <mergeCell ref="H209:I210"/>
    <mergeCell ref="J209:K210"/>
    <mergeCell ref="L209:L210"/>
    <mergeCell ref="M209:N209"/>
    <mergeCell ref="H212:I212"/>
    <mergeCell ref="J212:K212"/>
    <mergeCell ref="B217:B219"/>
    <mergeCell ref="C217:C219"/>
    <mergeCell ref="D217:D219"/>
    <mergeCell ref="E217:E219"/>
    <mergeCell ref="F217:F219"/>
    <mergeCell ref="H217:N217"/>
    <mergeCell ref="B181:B183"/>
    <mergeCell ref="C181:C183"/>
    <mergeCell ref="D181:D183"/>
    <mergeCell ref="E181:E183"/>
    <mergeCell ref="F181:F183"/>
    <mergeCell ref="H181:N181"/>
    <mergeCell ref="G182:G183"/>
    <mergeCell ref="H182:I183"/>
    <mergeCell ref="J182:K183"/>
    <mergeCell ref="L182:L183"/>
    <mergeCell ref="M182:N182"/>
    <mergeCell ref="H162:I162"/>
    <mergeCell ref="J162:K162"/>
    <mergeCell ref="H163:I163"/>
    <mergeCell ref="J163:K163"/>
    <mergeCell ref="H164:I164"/>
    <mergeCell ref="J164:K164"/>
    <mergeCell ref="G159:G160"/>
    <mergeCell ref="H159:I160"/>
    <mergeCell ref="J159:K160"/>
    <mergeCell ref="L159:L160"/>
    <mergeCell ref="M159:N159"/>
    <mergeCell ref="H161:I161"/>
    <mergeCell ref="J161:K161"/>
    <mergeCell ref="C154:E154"/>
    <mergeCell ref="J154:K154"/>
    <mergeCell ref="L154:M154"/>
    <mergeCell ref="C156:M156"/>
    <mergeCell ref="B158:B160"/>
    <mergeCell ref="C158:C160"/>
    <mergeCell ref="D158:D160"/>
    <mergeCell ref="E158:E160"/>
    <mergeCell ref="F158:F160"/>
    <mergeCell ref="H158:N158"/>
    <mergeCell ref="D153:E153"/>
    <mergeCell ref="J153:K153"/>
    <mergeCell ref="L153:M153"/>
    <mergeCell ref="D150:E150"/>
    <mergeCell ref="J150:K150"/>
    <mergeCell ref="L150:M150"/>
    <mergeCell ref="D151:E151"/>
    <mergeCell ref="J151:K151"/>
    <mergeCell ref="L151:M151"/>
    <mergeCell ref="D149:E149"/>
    <mergeCell ref="J149:K149"/>
    <mergeCell ref="L149:M149"/>
    <mergeCell ref="I146:I147"/>
    <mergeCell ref="J146:K147"/>
    <mergeCell ref="L146:M147"/>
    <mergeCell ref="D152:E152"/>
    <mergeCell ref="J152:K152"/>
    <mergeCell ref="L152:M152"/>
    <mergeCell ref="N146:N147"/>
    <mergeCell ref="O146:P146"/>
    <mergeCell ref="D148:E148"/>
    <mergeCell ref="J148:K148"/>
    <mergeCell ref="L148:M148"/>
    <mergeCell ref="H141:I141"/>
    <mergeCell ref="J141:K141"/>
    <mergeCell ref="E143:M143"/>
    <mergeCell ref="B145:B147"/>
    <mergeCell ref="C145:C147"/>
    <mergeCell ref="D145:E147"/>
    <mergeCell ref="F145:F147"/>
    <mergeCell ref="G145:G147"/>
    <mergeCell ref="H145:H147"/>
    <mergeCell ref="J145:P145"/>
    <mergeCell ref="L137:L138"/>
    <mergeCell ref="M137:N137"/>
    <mergeCell ref="H139:I139"/>
    <mergeCell ref="J139:K139"/>
    <mergeCell ref="H140:I140"/>
    <mergeCell ref="J140:K140"/>
    <mergeCell ref="E134:M134"/>
    <mergeCell ref="B136:B138"/>
    <mergeCell ref="C136:C138"/>
    <mergeCell ref="D136:D138"/>
    <mergeCell ref="E136:E138"/>
    <mergeCell ref="F136:F138"/>
    <mergeCell ref="H136:N136"/>
    <mergeCell ref="G137:G138"/>
    <mergeCell ref="H137:I138"/>
    <mergeCell ref="J137:K138"/>
    <mergeCell ref="I130:J130"/>
    <mergeCell ref="K130:L130"/>
    <mergeCell ref="I131:J131"/>
    <mergeCell ref="K131:L131"/>
    <mergeCell ref="I132:J132"/>
    <mergeCell ref="K132:L132"/>
    <mergeCell ref="I127:J128"/>
    <mergeCell ref="K127:L128"/>
    <mergeCell ref="M127:M128"/>
    <mergeCell ref="N127:O127"/>
    <mergeCell ref="I129:J129"/>
    <mergeCell ref="K129:L129"/>
    <mergeCell ref="E122:M122"/>
    <mergeCell ref="E124:M124"/>
    <mergeCell ref="B126:B128"/>
    <mergeCell ref="C126:C128"/>
    <mergeCell ref="D126:D128"/>
    <mergeCell ref="E126:E128"/>
    <mergeCell ref="F126:F128"/>
    <mergeCell ref="G126:G128"/>
    <mergeCell ref="I126:O126"/>
    <mergeCell ref="H127:H128"/>
    <mergeCell ref="H120:I120"/>
    <mergeCell ref="J120:K120"/>
    <mergeCell ref="L120:M120"/>
    <mergeCell ref="H121:I121"/>
    <mergeCell ref="J121:K121"/>
    <mergeCell ref="L121:M121"/>
    <mergeCell ref="G117:G118"/>
    <mergeCell ref="H117:I118"/>
    <mergeCell ref="J117:K118"/>
    <mergeCell ref="L117:M118"/>
    <mergeCell ref="N117:O117"/>
    <mergeCell ref="H119:I119"/>
    <mergeCell ref="J119:K119"/>
    <mergeCell ref="L119:M119"/>
    <mergeCell ref="H112:I112"/>
    <mergeCell ref="J112:K112"/>
    <mergeCell ref="L112:M112"/>
    <mergeCell ref="C114:M114"/>
    <mergeCell ref="B116:B118"/>
    <mergeCell ref="C116:C118"/>
    <mergeCell ref="D116:D118"/>
    <mergeCell ref="E116:E118"/>
    <mergeCell ref="F116:F118"/>
    <mergeCell ref="H116:O116"/>
    <mergeCell ref="H111:I111"/>
    <mergeCell ref="J111:K111"/>
    <mergeCell ref="L111:M111"/>
    <mergeCell ref="B107:B109"/>
    <mergeCell ref="C107:C109"/>
    <mergeCell ref="D107:D109"/>
    <mergeCell ref="E107:E109"/>
    <mergeCell ref="F107:F109"/>
    <mergeCell ref="H107:O107"/>
    <mergeCell ref="G108:G109"/>
    <mergeCell ref="H108:I109"/>
    <mergeCell ref="J108:K109"/>
    <mergeCell ref="L108:M109"/>
    <mergeCell ref="C103:M103"/>
    <mergeCell ref="C105:M105"/>
    <mergeCell ref="F96:G97"/>
    <mergeCell ref="H96:I97"/>
    <mergeCell ref="J96:J97"/>
    <mergeCell ref="K96:L96"/>
    <mergeCell ref="N108:O108"/>
    <mergeCell ref="H110:I110"/>
    <mergeCell ref="J110:K110"/>
    <mergeCell ref="L110:M110"/>
    <mergeCell ref="B95:B97"/>
    <mergeCell ref="C95:C97"/>
    <mergeCell ref="D95:D97"/>
    <mergeCell ref="E95:E97"/>
    <mergeCell ref="F95:L95"/>
    <mergeCell ref="F100:G100"/>
    <mergeCell ref="H100:I100"/>
    <mergeCell ref="F101:G101"/>
    <mergeCell ref="H101:I101"/>
    <mergeCell ref="F99:G99"/>
    <mergeCell ref="H99:I99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K31:L32"/>
    <mergeCell ref="M31:M32"/>
    <mergeCell ref="N31:O31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E25:F25"/>
    <mergeCell ref="G25:H25"/>
    <mergeCell ref="I25:J25"/>
    <mergeCell ref="C26:D26"/>
    <mergeCell ref="E26:F26"/>
    <mergeCell ref="G26:H26"/>
    <mergeCell ref="I26:J26"/>
    <mergeCell ref="K22:K23"/>
    <mergeCell ref="L22:M22"/>
    <mergeCell ref="E21:F23"/>
    <mergeCell ref="G21:M21"/>
    <mergeCell ref="G22:H23"/>
    <mergeCell ref="I22:J23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G10:I10"/>
    <mergeCell ref="K10:K11"/>
    <mergeCell ref="L10:L11"/>
    <mergeCell ref="M10:M11"/>
    <mergeCell ref="N22:O22"/>
    <mergeCell ref="E24:F24"/>
    <mergeCell ref="G24:H24"/>
    <mergeCell ref="I24:J24"/>
    <mergeCell ref="O10:P10"/>
    <mergeCell ref="C17:D17"/>
    <mergeCell ref="C19:N19"/>
    <mergeCell ref="B21:B23"/>
    <mergeCell ref="C21:C23"/>
    <mergeCell ref="D21:D23"/>
    <mergeCell ref="N10:N11"/>
    <mergeCell ref="F10:F11"/>
    <mergeCell ref="C206:M206"/>
    <mergeCell ref="C213:D213"/>
    <mergeCell ref="H213:I213"/>
    <mergeCell ref="J213:K213"/>
    <mergeCell ref="H184:I184"/>
    <mergeCell ref="J184:K184"/>
    <mergeCell ref="H185:I185"/>
    <mergeCell ref="H189:I189"/>
    <mergeCell ref="J189:K189"/>
    <mergeCell ref="H190:I190"/>
    <mergeCell ref="J190:K190"/>
    <mergeCell ref="H191:I191"/>
    <mergeCell ref="J191:K191"/>
    <mergeCell ref="H186:I186"/>
    <mergeCell ref="J186:K186"/>
    <mergeCell ref="H187:I187"/>
    <mergeCell ref="J187:K187"/>
    <mergeCell ref="H188:I188"/>
    <mergeCell ref="J188:K188"/>
    <mergeCell ref="H196:I196"/>
    <mergeCell ref="J196:K196"/>
    <mergeCell ref="H195:I195"/>
    <mergeCell ref="J195:K195"/>
    <mergeCell ref="J211:K211"/>
    <mergeCell ref="H171:I171"/>
    <mergeCell ref="J171:K171"/>
    <mergeCell ref="H169:I169"/>
    <mergeCell ref="J169:K169"/>
    <mergeCell ref="H170:I170"/>
    <mergeCell ref="J170:K170"/>
    <mergeCell ref="H199:I199"/>
    <mergeCell ref="J199:K199"/>
    <mergeCell ref="H192:I192"/>
    <mergeCell ref="J192:K192"/>
    <mergeCell ref="H193:I193"/>
    <mergeCell ref="J193:K193"/>
    <mergeCell ref="H194:I194"/>
    <mergeCell ref="J194:K194"/>
    <mergeCell ref="H197:I197"/>
    <mergeCell ref="J197:K197"/>
    <mergeCell ref="H198:I198"/>
    <mergeCell ref="J198:K198"/>
    <mergeCell ref="H173:I173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rowBreaks count="1" manualBreakCount="1">
    <brk id="228" max="15" man="1"/>
  </rowBreaks>
  <colBreaks count="1" manualBreakCount="1">
    <brk id="16" max="1048575" man="1"/>
  </colBreak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/1L4edqjdtxBTRM0MbW1AHHsDRY=</DigestValue>
    </Reference>
    <Reference URI="#idOfficeObject" Type="http://www.w3.org/2000/09/xmldsig#Object">
      <DigestMethod Algorithm="http://www.w3.org/2000/09/xmldsig#sha1"/>
      <DigestValue>J98+JPGa3W5jrFyzroQ1kzqhQek=</DigestValue>
    </Reference>
  </SignedInfo>
  <SignatureValue>
    Uhb0pxez/iZ2Q0azdUBxlkGd4XPLujmrBAgPJka6+D/hK8knUiRO3E+ncoShxRtt7S7ZT3Oq
    MWMzcIUq84tSnXNL5qarD16XxlMOAmorrn3/24/y+zj8jwtOiM3w2LTyJ/B6MoRcVLQ6Ui0p
    pGCBNiwXj4bcIiH/q+aWxjTSqxg=
  </SignatureValue>
  <KeyInfo>
    <KeyValue>
      <RSAKeyValue>
        <Modulus>
            toCbtBcZhTlOJ4Hftx9WStZgPtOzhF0wUTgOT8Y6POw2c/heI0luF68xJ1FU3C8YUDtEjdMS
            go0YjWjxrUew4h4b9wZ0Mpu/0pbf653UCeyJy6T9jS7+OEdctSimG6u4bPqZMZGNVfwIWzte
            vNpE3l5a4qSdICgN70Is2vPHfaU=
          </Modulus>
        <Exponent>AQAB</Exponent>
      </RSAKeyValue>
    </KeyValue>
    <X509Data>
      <X509Certificate>
          MIICjDCCAfWgAwIBAgIQF7YJrFtNB6VHFdqvYnsm4TANBgkqhkiG9w0BAQUFADB8MS8wLQYD
          VQQDHiYEEwQwBDwEMAQ7BDUENQQyBEEEOgQwBE8AIAQhBB4EKAAgIRYAMjEkMCIGCSqGSIb3
          DQEJARYVZ2FtLXNjaGtvbDJAeWFuZGV4LnJ1MSMwIQYDVQQKExpSZWFuaW1hdG9yIEV4dHJl
          bWUgRWRpdGlvbjAeFw0yMTAxMDgwNzQwMTlaFw0yMjAxMDgxMzQwMTlaMHwxLzAtBgNVBAMe
          JgQTBDAEPAQwBDsENQQ1BDIEQQQ6BDAETwAgBCEEHgQoACAhFgAyMSQwIgYJKoZIhvcNAQkB
          FhVnYW0tc2Noa29sMkB5YW5kZXgucnUxIzAhBgNVBAoTGlJlYW5pbWF0b3IgRXh0cmVtZSBF
          ZGl0aW9uMIGfMA0GCSqGSIb3DQEBAQUAA4GNADCBiQKBgQC2gJu0FxmFOU4ngd+3H1ZK1mA+
          07OEXTBROA5Pxjo87DZz+F4jSW4XrzEnUVTcLxhQO0SN0xKCjRiNaPGtR7DiHhv3BnQym7/S
          lt/rndQJ7InLpP2NLv44R1y1KKYbq7hs+pkxkY1V/AhbO1682kTeXlripJ0gKA3vQiza88d9
          pQIDAQABow8wDTALBgNVHQ8EBAMCBsAwDQYJKoZIhvcNAQEFBQADgYEAQ2UDtFxyefFNBeZB
          P6hvvuBldcsIXVjeZ8ET5FSw3t70ClFIg/ziO8KxugSTjBkOmZAQE1g3QUdOVlQ57tTmocaY
          +y0SQ1DHA/CJDZZmznbsl1BuraYM81mFzpfzBMsL5hcuACJp9erZsyV13Tziw1I8pZKYlCBY
          KjqDWJ/gwE0=
        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AeiXzrHdnhxl7C7TxUQX+kkqIog=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5ZanUDBgEray1WgQ2LmA/le6dtU=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HFXF2caj2ZPI0J43tSOWV1nvMso=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HFXF2caj2ZPI0J43tSOWV1nvMso=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TJ48rkoPi4ceap0ltiZf8zeALvU=</DigestValue>
      </Reference>
      <Reference URI="/xl/sharedStrings.xml?ContentType=application/vnd.openxmlformats-officedocument.spreadsheetml.sharedStrings+xml">
        <DigestMethod Algorithm="http://www.w3.org/2000/09/xmldsig#sha1"/>
        <DigestValue>cYlpXkd0b9VaibdCVbBgaLsPVVE=</DigestValue>
      </Reference>
      <Reference URI="/xl/styles.xml?ContentType=application/vnd.openxmlformats-officedocument.spreadsheetml.styles+xml">
        <DigestMethod Algorithm="http://www.w3.org/2000/09/xmldsig#sha1"/>
        <DigestValue>b6xNhfYPWVTDBsYXlk4sQi3hH6Q=</DigestValue>
      </Reference>
      <Reference URI="/xl/theme/theme1.xml?ContentType=application/vnd.openxmlformats-officedocument.theme+xml">
        <DigestMethod Algorithm="http://www.w3.org/2000/09/xmldsig#sha1"/>
        <DigestValue>VdWDcGSSpxaVBhQ1dK/ly39pen8=</DigestValue>
      </Reference>
      <Reference URI="/xl/workbook.xml?ContentType=application/vnd.openxmlformats-officedocument.spreadsheetml.sheet.main+xml">
        <DigestMethod Algorithm="http://www.w3.org/2000/09/xmldsig#sha1"/>
        <DigestValue>YU8sa6AIaM9jXbIkaPi2Ydoeu94=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p3Vo1ELbv4NvleayWI6std39/r8=</DigestValue>
      </Reference>
      <Reference URI="/xl/worksheets/sheet1.xml?ContentType=application/vnd.openxmlformats-officedocument.spreadsheetml.worksheet+xml">
        <DigestMethod Algorithm="http://www.w3.org/2000/09/xmldsig#sha1"/>
        <DigestValue>7KxbIAKjDU3dMyEI/bHrgcqnbNY=</DigestValue>
      </Reference>
      <Reference URI="/xl/worksheets/sheet2.xml?ContentType=application/vnd.openxmlformats-officedocument.spreadsheetml.worksheet+xml">
        <DigestMethod Algorithm="http://www.w3.org/2000/09/xmldsig#sha1"/>
        <DigestValue>8cRFWx7JA3+rE+rVweghuFnE5tY=</DigestValue>
      </Reference>
      <Reference URI="/xl/worksheets/sheet3.xml?ContentType=application/vnd.openxmlformats-officedocument.spreadsheetml.worksheet+xml">
        <DigestMethod Algorithm="http://www.w3.org/2000/09/xmldsig#sha1"/>
        <DigestValue>5Q9gJIbfGipHXyKRq3TP5GHTBMo=</DigestValue>
      </Reference>
      <Reference URI="/xl/worksheets/sheet4.xml?ContentType=application/vnd.openxmlformats-officedocument.spreadsheetml.worksheet+xml">
        <DigestMethod Algorithm="http://www.w3.org/2000/09/xmldsig#sha1"/>
        <DigestValue>d7iqddteCdCockOrz4J8yNWTXvw=</DigestValue>
      </Reference>
    </Manifest>
    <SignatureProperties>
      <SignatureProperty Id="idSignatureTime" Target="#idPackageSignature">
        <mdssi:SignatureTime>
          <mdssi:Format>YYYY-MM-DDThh:mm:ssTZD</mdssi:Format>
          <mdssi:Value>2021-02-12T09:30:57Z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12.0</OfficeVersion>
          <ApplicationVersion>12.0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2020г</vt:lpstr>
      <vt:lpstr>'Раздел 1'!Область_печати</vt:lpstr>
      <vt:lpstr>'Раздел 2'!Область_печати</vt:lpstr>
      <vt:lpstr>'Расчеты 2020г'!Область_печати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Гамалеевская СОШ №2</cp:lastModifiedBy>
  <cp:lastPrinted>2021-01-15T06:17:47Z</cp:lastPrinted>
  <dcterms:created xsi:type="dcterms:W3CDTF">2017-01-05T07:07:42Z</dcterms:created>
  <dcterms:modified xsi:type="dcterms:W3CDTF">2021-02-12T09:30:56Z</dcterms:modified>
</cp:coreProperties>
</file>